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Stalin\Downloads\"/>
    </mc:Choice>
  </mc:AlternateContent>
  <xr:revisionPtr revIDLastSave="0" documentId="13_ncr:1_{834CDECD-BD92-4D9A-B6D6-947085DC3D92}" xr6:coauthVersionLast="47" xr6:coauthVersionMax="47" xr10:uidLastSave="{00000000-0000-0000-0000-000000000000}"/>
  <bookViews>
    <workbookView showHorizontalScroll="0" showVerticalScroll="0" xWindow="-120" yWindow="-120" windowWidth="29040" windowHeight="15720" xr2:uid="{00000000-000D-0000-FFFF-FFFF00000000}"/>
  </bookViews>
  <sheets>
    <sheet name="Seguimiento" sheetId="1" r:id="rId1"/>
    <sheet name="kpi" sheetId="3" r:id="rId2"/>
    <sheet name="Hoja2" sheetId="6" r:id="rId3"/>
    <sheet name="Tablas" sheetId="4" r:id="rId4"/>
    <sheet name="Placas" sheetId="2" r:id="rId5"/>
    <sheet name="STATUS" sheetId="7" r:id="rId6"/>
  </sheets>
  <definedNames>
    <definedName name="_xlnm._FilterDatabase" localSheetId="5" hidden="1">STATUS!$A$1:$F$17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7" l="1"/>
  <c r="C13" i="7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A13" i="7" s="1"/>
  <c r="G204" i="1"/>
  <c r="G205" i="1"/>
  <c r="G206" i="1"/>
  <c r="G207" i="1"/>
  <c r="G208" i="1"/>
  <c r="G209" i="1"/>
  <c r="G210" i="1"/>
  <c r="G211" i="1"/>
  <c r="G212" i="1"/>
  <c r="G213" i="1"/>
  <c r="G214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D13" i="7" l="1"/>
  <c r="F13" i="7" s="1"/>
  <c r="E12" i="7" l="1"/>
  <c r="C12" i="7"/>
  <c r="A12" i="7"/>
  <c r="D12" i="7" l="1"/>
  <c r="F12" i="7" s="1"/>
  <c r="A3" i="7" l="1"/>
  <c r="A4" i="7"/>
  <c r="A5" i="7"/>
  <c r="A6" i="7"/>
  <c r="A7" i="7"/>
  <c r="A8" i="7"/>
  <c r="A9" i="7"/>
  <c r="A10" i="7"/>
  <c r="A11" i="7"/>
  <c r="A14" i="7"/>
  <c r="A15" i="7"/>
  <c r="A16" i="7"/>
  <c r="A17" i="7"/>
  <c r="E3" i="7" l="1"/>
  <c r="E4" i="7"/>
  <c r="E5" i="7"/>
  <c r="E6" i="7"/>
  <c r="E7" i="7"/>
  <c r="E8" i="7"/>
  <c r="E9" i="7"/>
  <c r="E10" i="7"/>
  <c r="E11" i="7"/>
  <c r="E14" i="7"/>
  <c r="E15" i="7"/>
  <c r="E16" i="7"/>
  <c r="E17" i="7"/>
  <c r="E2" i="7"/>
  <c r="C3" i="7"/>
  <c r="C4" i="7"/>
  <c r="C5" i="7"/>
  <c r="C6" i="7"/>
  <c r="C7" i="7"/>
  <c r="C8" i="7"/>
  <c r="C9" i="7"/>
  <c r="C10" i="7"/>
  <c r="C11" i="7"/>
  <c r="C14" i="7"/>
  <c r="C15" i="7"/>
  <c r="C16" i="7"/>
  <c r="C17" i="7"/>
  <c r="C2" i="7"/>
  <c r="D16" i="7" l="1"/>
  <c r="F16" i="7" s="1"/>
  <c r="D11" i="7"/>
  <c r="F11" i="7" s="1"/>
  <c r="D17" i="7"/>
  <c r="F17" i="7" s="1"/>
  <c r="D2" i="7"/>
  <c r="F2" i="7" s="1"/>
  <c r="D15" i="7"/>
  <c r="F15" i="7" s="1"/>
  <c r="D14" i="7"/>
  <c r="F14" i="7" s="1"/>
  <c r="D6" i="7"/>
  <c r="F6" i="7" s="1"/>
  <c r="D7" i="7"/>
  <c r="F7" i="7" s="1"/>
  <c r="D4" i="7"/>
  <c r="F4" i="7" s="1"/>
  <c r="D10" i="7"/>
  <c r="F10" i="7" s="1"/>
  <c r="D9" i="7"/>
  <c r="F9" i="7" s="1"/>
  <c r="D8" i="7"/>
  <c r="F8" i="7" s="1"/>
  <c r="D5" i="7"/>
  <c r="F5" i="7" s="1"/>
  <c r="D3" i="7"/>
  <c r="F3" i="7" s="1"/>
  <c r="E7" i="1"/>
  <c r="G7" i="1" l="1"/>
  <c r="H7" i="1"/>
  <c r="I7" i="1"/>
  <c r="J7" i="1"/>
  <c r="A2" i="7" l="1"/>
  <c r="N7" i="1"/>
  <c r="J10" i="3" l="1"/>
  <c r="N10" i="3" l="1"/>
  <c r="F10" i="3"/>
  <c r="B10" i="3"/>
  <c r="B8" i="3" l="1"/>
  <c r="J19" i="3"/>
  <c r="B19" i="3"/>
  <c r="N19" i="3"/>
  <c r="F19" i="3"/>
  <c r="J8" i="3"/>
  <c r="N8" i="3"/>
  <c r="J9" i="3"/>
  <c r="F8" i="3"/>
  <c r="N9" i="3"/>
  <c r="F9" i="3"/>
  <c r="B9" i="3"/>
  <c r="J11" i="3" l="1"/>
  <c r="F11" i="3"/>
  <c r="N11" i="3"/>
  <c r="B11" i="3"/>
  <c r="B16" i="3" l="1"/>
  <c r="C19" i="3"/>
  <c r="N21" i="3"/>
  <c r="O19" i="3"/>
  <c r="F21" i="3"/>
  <c r="G19" i="3"/>
  <c r="J15" i="3"/>
  <c r="K19" i="3"/>
  <c r="J14" i="3"/>
  <c r="J21" i="3"/>
  <c r="J16" i="3"/>
  <c r="B21" i="3"/>
  <c r="B14" i="3"/>
  <c r="N16" i="3"/>
  <c r="N15" i="3"/>
  <c r="N14" i="3"/>
  <c r="F16" i="3"/>
  <c r="F15" i="3"/>
  <c r="B15" i="3"/>
  <c r="F14" i="3"/>
</calcChain>
</file>

<file path=xl/sharedStrings.xml><?xml version="1.0" encoding="utf-8"?>
<sst xmlns="http://schemas.openxmlformats.org/spreadsheetml/2006/main" count="828" uniqueCount="510">
  <si>
    <t>TIENDA</t>
  </si>
  <si>
    <t>ID TIENDA</t>
  </si>
  <si>
    <t>RUTA</t>
  </si>
  <si>
    <t>PLACA</t>
  </si>
  <si>
    <t>AUXILIAR</t>
  </si>
  <si>
    <t>ESTADO</t>
  </si>
  <si>
    <t>OBSERVACIÓN</t>
  </si>
  <si>
    <t>ENTREGADO</t>
  </si>
  <si>
    <t>PROVEEDOR</t>
  </si>
  <si>
    <t>REZAGADO</t>
  </si>
  <si>
    <t>PLACAS</t>
  </si>
  <si>
    <t>PALOMINO</t>
  </si>
  <si>
    <t>BRIDAR</t>
  </si>
  <si>
    <t>LEYVA</t>
  </si>
  <si>
    <t>DINET</t>
  </si>
  <si>
    <t>FECHA DESPACHO</t>
  </si>
  <si>
    <t>EN RUTA</t>
  </si>
  <si>
    <t>% ENTREGADO</t>
  </si>
  <si>
    <t>TOTAL</t>
  </si>
  <si>
    <t>N° TIENDAS POR ENTREGAR</t>
  </si>
  <si>
    <t>% REZAGADO</t>
  </si>
  <si>
    <t>CONDUCTOR</t>
  </si>
  <si>
    <t>STATUS</t>
  </si>
  <si>
    <t>N° TIENDAS</t>
  </si>
  <si>
    <t>FECHA DE ENTREGA</t>
  </si>
  <si>
    <t>ENTREGAS CONFORME</t>
  </si>
  <si>
    <t>ENTREGAS CONFORMES</t>
  </si>
  <si>
    <t>INDICADOR</t>
  </si>
  <si>
    <t>% TIENDAS</t>
  </si>
  <si>
    <t>Sale a Tda #</t>
  </si>
  <si>
    <t>Nro Fisico</t>
  </si>
  <si>
    <t>GUIA</t>
  </si>
  <si>
    <t>%EN RUTA</t>
  </si>
  <si>
    <t>CANCHARI</t>
  </si>
  <si>
    <t>VALOR</t>
  </si>
  <si>
    <t>CEVA LOGISTICS</t>
  </si>
  <si>
    <t>ruta</t>
  </si>
  <si>
    <t>sku</t>
  </si>
  <si>
    <t>cantidad</t>
  </si>
  <si>
    <t>status</t>
  </si>
  <si>
    <t>descripcion</t>
  </si>
  <si>
    <t>ue</t>
  </si>
  <si>
    <t>bultos</t>
  </si>
  <si>
    <t>IND2</t>
  </si>
  <si>
    <t>IND3</t>
  </si>
  <si>
    <t>CEVA</t>
  </si>
  <si>
    <t>% AVANZE</t>
  </si>
  <si>
    <t>TRASPORTE</t>
  </si>
  <si>
    <t>ANGAMOS-C4</t>
  </si>
  <si>
    <t>DIAGONAL</t>
  </si>
  <si>
    <t>CAMACHO</t>
  </si>
  <si>
    <t>CONSTRUCTORES</t>
  </si>
  <si>
    <t>OLGUIN</t>
  </si>
  <si>
    <t>TOULON</t>
  </si>
  <si>
    <t>CANAVAL-C1</t>
  </si>
  <si>
    <t>MORELLI</t>
  </si>
  <si>
    <t>TDA SAN BORJA</t>
  </si>
  <si>
    <t>PIEROLA</t>
  </si>
  <si>
    <t>STACATALINA</t>
  </si>
  <si>
    <t>ROMA</t>
  </si>
  <si>
    <t>UPTOWN</t>
  </si>
  <si>
    <t>BOLIVAR-C8</t>
  </si>
  <si>
    <t>BUU-825</t>
  </si>
  <si>
    <t>MIGUEL ANGEL</t>
  </si>
  <si>
    <t>MIGUEL</t>
  </si>
  <si>
    <t>BMH-890</t>
  </si>
  <si>
    <t>YHIM</t>
  </si>
  <si>
    <t>C3Z-800</t>
  </si>
  <si>
    <t>JAMBO</t>
  </si>
  <si>
    <t>BENDEZU</t>
  </si>
  <si>
    <t>BFK-806</t>
  </si>
  <si>
    <t>LUIS</t>
  </si>
  <si>
    <t>KOKI</t>
  </si>
  <si>
    <t>BUX-927</t>
  </si>
  <si>
    <t>EDGAR</t>
  </si>
  <si>
    <t>JHON</t>
  </si>
  <si>
    <t>BFO-720</t>
  </si>
  <si>
    <t>BUC-807</t>
  </si>
  <si>
    <t>EDEN</t>
  </si>
  <si>
    <t>ALDER</t>
  </si>
  <si>
    <t>JOSE</t>
  </si>
  <si>
    <t>SILVIA</t>
  </si>
  <si>
    <t>BAN-774</t>
  </si>
  <si>
    <t>DERBY</t>
  </si>
  <si>
    <t>COLINA</t>
  </si>
  <si>
    <t>BTX-945</t>
  </si>
  <si>
    <t>BBW-874</t>
  </si>
  <si>
    <t>DARWIN FUERTES</t>
  </si>
  <si>
    <t>PAINO</t>
  </si>
  <si>
    <t>BRY-943</t>
  </si>
  <si>
    <t>JESUS</t>
  </si>
  <si>
    <t>BANCAYAN</t>
  </si>
  <si>
    <t>MINKA</t>
  </si>
  <si>
    <t>TDA CARGO CITY</t>
  </si>
  <si>
    <t>11A</t>
  </si>
  <si>
    <t>11B</t>
  </si>
  <si>
    <t>BD4-825</t>
  </si>
  <si>
    <t>BMT-901</t>
  </si>
  <si>
    <t>BAY-937</t>
  </si>
  <si>
    <t>BKV-779</t>
  </si>
  <si>
    <t>BSL-904</t>
  </si>
  <si>
    <t>ALAMOS</t>
  </si>
  <si>
    <t>ALLENDE</t>
  </si>
  <si>
    <t>LIMAVES</t>
  </si>
  <si>
    <t>PASTORSEVILLA</t>
  </si>
  <si>
    <t>RIVAS-SJM</t>
  </si>
  <si>
    <t>SANTUARIO</t>
  </si>
  <si>
    <t>SEVILLA</t>
  </si>
  <si>
    <t>SOLIDARIDAD</t>
  </si>
  <si>
    <t>TDA PACHACUTEC</t>
  </si>
  <si>
    <t>VALLEJO</t>
  </si>
  <si>
    <t>VILLAMARIA-C4</t>
  </si>
  <si>
    <t>ALAMEDA-SUR</t>
  </si>
  <si>
    <t>ALAMEDA-SUR2</t>
  </si>
  <si>
    <t>CANEVARO-SJM</t>
  </si>
  <si>
    <t>COSTAAZUL-C1</t>
  </si>
  <si>
    <t>HEROES</t>
  </si>
  <si>
    <t>HUAYLAS-C7</t>
  </si>
  <si>
    <t>IGLESIAS-SJM</t>
  </si>
  <si>
    <t>LIRIOS</t>
  </si>
  <si>
    <t>LIRIOS-C1</t>
  </si>
  <si>
    <t>MACHUCA-C1</t>
  </si>
  <si>
    <t>MATELLINI-C4</t>
  </si>
  <si>
    <t>VILLA1</t>
  </si>
  <si>
    <t>28DJULIO-C6</t>
  </si>
  <si>
    <t>BARRANCO1</t>
  </si>
  <si>
    <t>BARRANCO-BOULEVARD</t>
  </si>
  <si>
    <t>BARRANCO-OVALO</t>
  </si>
  <si>
    <t>BENAVIDES-C22</t>
  </si>
  <si>
    <t>BENAVIDES-C7</t>
  </si>
  <si>
    <t>BOLICHERA</t>
  </si>
  <si>
    <t>EJERCITO-C3</t>
  </si>
  <si>
    <t>EJERCITO-C8</t>
  </si>
  <si>
    <t>ELSOL-BARRANCO</t>
  </si>
  <si>
    <t>ESPINAR</t>
  </si>
  <si>
    <t>LAPAZ</t>
  </si>
  <si>
    <t>SHELL</t>
  </si>
  <si>
    <t>AVIACION-C49</t>
  </si>
  <si>
    <t>AYACUCHO-C10</t>
  </si>
  <si>
    <t>CASTILLA-C11</t>
  </si>
  <si>
    <t>C-INCA-C25</t>
  </si>
  <si>
    <t>ELSOL-SURCO</t>
  </si>
  <si>
    <t>L-AMOROSA</t>
  </si>
  <si>
    <t>MONTEROSA</t>
  </si>
  <si>
    <t>MONTEROSA-C2</t>
  </si>
  <si>
    <t>PRINCIPAL</t>
  </si>
  <si>
    <t>PROCERES-SURCO</t>
  </si>
  <si>
    <t>SALGUERO-C4</t>
  </si>
  <si>
    <t>TDA ANGAMOS</t>
  </si>
  <si>
    <t>TRIGAL</t>
  </si>
  <si>
    <t>CASUARINAS</t>
  </si>
  <si>
    <t>CELIMA</t>
  </si>
  <si>
    <t>CINERARIAS</t>
  </si>
  <si>
    <t>ELPOLO</t>
  </si>
  <si>
    <t>FRESNOS</t>
  </si>
  <si>
    <t>FRESNOS-C13</t>
  </si>
  <si>
    <t>HUAROCHIRI-C4</t>
  </si>
  <si>
    <t>MELGAREJO</t>
  </si>
  <si>
    <t>OLGUIN-C3</t>
  </si>
  <si>
    <t>SAMOA-LAMOLINA</t>
  </si>
  <si>
    <t>UDELIMA2</t>
  </si>
  <si>
    <t>AYLLON-C20</t>
  </si>
  <si>
    <t>AYLLON-C4</t>
  </si>
  <si>
    <t>AYLLON-C8</t>
  </si>
  <si>
    <t>GRIFO-HUAYCAN</t>
  </si>
  <si>
    <t>HUAROCHIRI</t>
  </si>
  <si>
    <t>MARIATEG</t>
  </si>
  <si>
    <t>MARIATEGUI-C3</t>
  </si>
  <si>
    <t>RUISENORES</t>
  </si>
  <si>
    <t>SANMARTIN-C6</t>
  </si>
  <si>
    <t>TDA HUAYCAN</t>
  </si>
  <si>
    <t>TDA MARABU</t>
  </si>
  <si>
    <t>VALLEJO-C4</t>
  </si>
  <si>
    <t>ARENALES-C15</t>
  </si>
  <si>
    <t>BELAUNDE-C2-SANISIDRO</t>
  </si>
  <si>
    <t>CAMREAL</t>
  </si>
  <si>
    <t>CHINCHON</t>
  </si>
  <si>
    <t>C-MOREYRA-C3</t>
  </si>
  <si>
    <t>CUETO-C5</t>
  </si>
  <si>
    <t>LIMTAMBO</t>
  </si>
  <si>
    <t>NAVARRETE-C5</t>
  </si>
  <si>
    <t>REVILLA</t>
  </si>
  <si>
    <t>ROSATORO</t>
  </si>
  <si>
    <t>ROSATORO-C4</t>
  </si>
  <si>
    <t>SANLUIS-C20</t>
  </si>
  <si>
    <t>SANLUIS-C24</t>
  </si>
  <si>
    <t>SANLUIS-C26</t>
  </si>
  <si>
    <t>UCELLO</t>
  </si>
  <si>
    <t>ARRIOLA</t>
  </si>
  <si>
    <t>CANADA-C10</t>
  </si>
  <si>
    <t>CANADA-C14</t>
  </si>
  <si>
    <t>CANADA-C8</t>
  </si>
  <si>
    <t>CHILE</t>
  </si>
  <si>
    <t>GARCILAZO</t>
  </si>
  <si>
    <t>GARCILAZO-C12</t>
  </si>
  <si>
    <t>PIEROLA-C11</t>
  </si>
  <si>
    <t>REPUBLICA-C5</t>
  </si>
  <si>
    <t>SACO-C2</t>
  </si>
  <si>
    <t>UCAYALI</t>
  </si>
  <si>
    <t>28DEJULIO-C10</t>
  </si>
  <si>
    <t>BRASIL-C32</t>
  </si>
  <si>
    <t>BRASIL-RAMBLA</t>
  </si>
  <si>
    <t>DELCAMPO</t>
  </si>
  <si>
    <t>DOMINICANA</t>
  </si>
  <si>
    <t>REYES</t>
  </si>
  <si>
    <t>SNMARCOS</t>
  </si>
  <si>
    <t>SUCRE-C10</t>
  </si>
  <si>
    <t>TDA BRASIL</t>
  </si>
  <si>
    <t>TDA LEONCIO PRADO</t>
  </si>
  <si>
    <t>UCATOLICA</t>
  </si>
  <si>
    <t>VENEZUELA-C11</t>
  </si>
  <si>
    <t>BOLIVAR-C1</t>
  </si>
  <si>
    <t>BRIGIDA</t>
  </si>
  <si>
    <t>ESCARDO</t>
  </si>
  <si>
    <t>LA MARINA-C29</t>
  </si>
  <si>
    <t>LIBERTAD</t>
  </si>
  <si>
    <t>LIMASM</t>
  </si>
  <si>
    <t>MARINA-C16</t>
  </si>
  <si>
    <t>PANDO</t>
  </si>
  <si>
    <t>PQ LEYENDAS</t>
  </si>
  <si>
    <t>TDA LA MARINA</t>
  </si>
  <si>
    <t>TDA STRIP DE PASO</t>
  </si>
  <si>
    <t>TDA SUCRE</t>
  </si>
  <si>
    <t>BASENAVAL</t>
  </si>
  <si>
    <t>COLONIAL-C31</t>
  </si>
  <si>
    <t>COLONIAL-C45</t>
  </si>
  <si>
    <t>COLONIAL-C49</t>
  </si>
  <si>
    <t>COLONIALMALL</t>
  </si>
  <si>
    <t>INSURGENTES</t>
  </si>
  <si>
    <t>MARINA-C2</t>
  </si>
  <si>
    <t>STRIPCALLAO</t>
  </si>
  <si>
    <t>TDA SAENZ PENA</t>
  </si>
  <si>
    <t>UDELCALLAO</t>
  </si>
  <si>
    <t>13ENERO-C22</t>
  </si>
  <si>
    <t>BAYOVAR</t>
  </si>
  <si>
    <t>CANTOGRANDE-C24</t>
  </si>
  <si>
    <t>CANTOGRANDE-C35</t>
  </si>
  <si>
    <t>ELSOL-SJL</t>
  </si>
  <si>
    <t>PROCERES-C49</t>
  </si>
  <si>
    <t>PROCERES-SJL</t>
  </si>
  <si>
    <t>SANTAROSA-SJL</t>
  </si>
  <si>
    <t>TDA BASADRE</t>
  </si>
  <si>
    <t>TDA CHIMU</t>
  </si>
  <si>
    <t>TDA RIVAGUERO</t>
  </si>
  <si>
    <t>TDA WIESSE</t>
  </si>
  <si>
    <t>TUSILAGOS</t>
  </si>
  <si>
    <t>12DEOCTUBRE</t>
  </si>
  <si>
    <t>ALCAZAR-C2</t>
  </si>
  <si>
    <t>BARRERA-RIMAC</t>
  </si>
  <si>
    <t>CHINCHAYSUYO</t>
  </si>
  <si>
    <t>HDELGADO</t>
  </si>
  <si>
    <t>MENDIOLA-C5</t>
  </si>
  <si>
    <t>PINOS</t>
  </si>
  <si>
    <t>PLAZA NORTE</t>
  </si>
  <si>
    <t>SANGERMAN-C2</t>
  </si>
  <si>
    <t>TDA ALCAZAR</t>
  </si>
  <si>
    <t>TDA CARLOS IZAGUIRRE</t>
  </si>
  <si>
    <t>TDA TARAPACA</t>
  </si>
  <si>
    <t>UNGER</t>
  </si>
  <si>
    <t>VIOLETAS-C2</t>
  </si>
  <si>
    <t>AREQUIPA-COMAS</t>
  </si>
  <si>
    <t>BELAUNDE-C9</t>
  </si>
  <si>
    <t>CONDOMINIO</t>
  </si>
  <si>
    <t>CORDIALIDAD</t>
  </si>
  <si>
    <t>GIUFUENTE</t>
  </si>
  <si>
    <t>MAESTRO-C7</t>
  </si>
  <si>
    <t>MARANON</t>
  </si>
  <si>
    <t>MAVIL-SMP</t>
  </si>
  <si>
    <t>MEXICO-COMAS</t>
  </si>
  <si>
    <t>PASCANA</t>
  </si>
  <si>
    <t>TDA COMAS</t>
  </si>
  <si>
    <t>TDA HUANDOY</t>
  </si>
  <si>
    <t>TDA NARANJAL</t>
  </si>
  <si>
    <t>UCV-OLIVOS</t>
  </si>
  <si>
    <t>ANCON</t>
  </si>
  <si>
    <t>BOLIVAR-C2-CHANCAY</t>
  </si>
  <si>
    <t>HUACHO-28DJULIO</t>
  </si>
  <si>
    <t>HUARAL-PLAZA</t>
  </si>
  <si>
    <t>LEONCIOPRADO-C4</t>
  </si>
  <si>
    <t>BELTRAN</t>
  </si>
  <si>
    <t>CIVICO-PRO</t>
  </si>
  <si>
    <t>EJERCITO-C2</t>
  </si>
  <si>
    <t>FICUS</t>
  </si>
  <si>
    <t>FUNDO-MARQUEZ</t>
  </si>
  <si>
    <t>HABICH-C5</t>
  </si>
  <si>
    <t>LICENCIADOS</t>
  </si>
  <si>
    <t>PACIFICO</t>
  </si>
  <si>
    <t>PERSHING-C5</t>
  </si>
  <si>
    <t>PRO</t>
  </si>
  <si>
    <t>TDA HABICH</t>
  </si>
  <si>
    <t>VENTANILLA</t>
  </si>
  <si>
    <t>DANIEL</t>
  </si>
  <si>
    <t>RICARDO</t>
  </si>
  <si>
    <t>AGUSTO</t>
  </si>
  <si>
    <t>JUAN C,</t>
  </si>
  <si>
    <t>ALEX GUILLERMO</t>
  </si>
  <si>
    <t>ANTONI</t>
  </si>
  <si>
    <t>WILIAM</t>
  </si>
  <si>
    <t>JAIME</t>
  </si>
  <si>
    <t>KEVIN</t>
  </si>
  <si>
    <t>SEBASTIAN GUILLERMO</t>
  </si>
  <si>
    <t>BRISA CONDOR</t>
  </si>
  <si>
    <t>9994-005345162TCG</t>
  </si>
  <si>
    <t>9994-0039345162TCG</t>
  </si>
  <si>
    <t>9994-0036645162TCG</t>
  </si>
  <si>
    <t>9994-0023845162TCG</t>
  </si>
  <si>
    <t>T994-00165171</t>
  </si>
  <si>
    <t>T994-00165172</t>
  </si>
  <si>
    <t>T994-00165170</t>
  </si>
  <si>
    <t>T994-00165166</t>
  </si>
  <si>
    <t>T994-00165168</t>
  </si>
  <si>
    <t>T994-00165167</t>
  </si>
  <si>
    <t>T994-00165169</t>
  </si>
  <si>
    <t>T994-00165165</t>
  </si>
  <si>
    <t>T994-00165163</t>
  </si>
  <si>
    <t>T994-00165164</t>
  </si>
  <si>
    <t>T994-00165162</t>
  </si>
  <si>
    <t>T994-00165158</t>
  </si>
  <si>
    <t>T994-00165157</t>
  </si>
  <si>
    <t>T994-00165160</t>
  </si>
  <si>
    <t>T994-00165161</t>
  </si>
  <si>
    <t>T994-00165159</t>
  </si>
  <si>
    <t>T994-00165153</t>
  </si>
  <si>
    <t>T994-00165154</t>
  </si>
  <si>
    <t>T994-00165156</t>
  </si>
  <si>
    <t>T994-00165155</t>
  </si>
  <si>
    <t>T994-00165152</t>
  </si>
  <si>
    <t>T994-00165151</t>
  </si>
  <si>
    <t>T994-00165149</t>
  </si>
  <si>
    <t>T994-00165150</t>
  </si>
  <si>
    <t>T994-00165146</t>
  </si>
  <si>
    <t>T994-00165147</t>
  </si>
  <si>
    <t>T994-00165144</t>
  </si>
  <si>
    <t>T994-00165145</t>
  </si>
  <si>
    <t>T994-00165148</t>
  </si>
  <si>
    <t>T994-00165142</t>
  </si>
  <si>
    <t>T994-00165141</t>
  </si>
  <si>
    <t>T994-00165140</t>
  </si>
  <si>
    <t>T994-00165143</t>
  </si>
  <si>
    <t>T994-00165136</t>
  </si>
  <si>
    <t>T994-00165139</t>
  </si>
  <si>
    <t>T994-00165138</t>
  </si>
  <si>
    <t>T994-00165137</t>
  </si>
  <si>
    <t>T994-00165135</t>
  </si>
  <si>
    <t>T994-00165134</t>
  </si>
  <si>
    <t>T994-00165133</t>
  </si>
  <si>
    <t>T994-00165131</t>
  </si>
  <si>
    <t>T994-00165129</t>
  </si>
  <si>
    <t>T994-00165130</t>
  </si>
  <si>
    <t>T994-00165132</t>
  </si>
  <si>
    <t>T994-00165126</t>
  </si>
  <si>
    <t>T994-00165128</t>
  </si>
  <si>
    <t>T994-00165127</t>
  </si>
  <si>
    <t>T994-00165125</t>
  </si>
  <si>
    <t>T994-00165124</t>
  </si>
  <si>
    <t>T994-00165122</t>
  </si>
  <si>
    <t>T994-00165123</t>
  </si>
  <si>
    <t>T994-00165121</t>
  </si>
  <si>
    <t>T994-00165119</t>
  </si>
  <si>
    <t>T994-00165117</t>
  </si>
  <si>
    <t>T994-00165120</t>
  </si>
  <si>
    <t>T994-00165118</t>
  </si>
  <si>
    <t>T994-00165115</t>
  </si>
  <si>
    <t>T994-00165114</t>
  </si>
  <si>
    <t>T994-00165116</t>
  </si>
  <si>
    <t>T994-00165113</t>
  </si>
  <si>
    <t>T994-00165112</t>
  </si>
  <si>
    <t>T994-00165110</t>
  </si>
  <si>
    <t>T994-00165111</t>
  </si>
  <si>
    <t>T994-00165108</t>
  </si>
  <si>
    <t>T994-00165109</t>
  </si>
  <si>
    <t>T994-00165107</t>
  </si>
  <si>
    <t>T994-00165106</t>
  </si>
  <si>
    <t>T994-00165104</t>
  </si>
  <si>
    <t>T994-00165103</t>
  </si>
  <si>
    <t>T994-00165105</t>
  </si>
  <si>
    <t>T994-00165100</t>
  </si>
  <si>
    <t>T994-00165101</t>
  </si>
  <si>
    <t>T994-00165102</t>
  </si>
  <si>
    <t>T994-00165097</t>
  </si>
  <si>
    <t>T994-00165098</t>
  </si>
  <si>
    <t>T994-00165099</t>
  </si>
  <si>
    <t>T994-00165092</t>
  </si>
  <si>
    <t>T994-00165093</t>
  </si>
  <si>
    <t>T994-00165094</t>
  </si>
  <si>
    <t>T994-00165095</t>
  </si>
  <si>
    <t>T994-00165091</t>
  </si>
  <si>
    <t>T994-00165087</t>
  </si>
  <si>
    <t>T994-00165090</t>
  </si>
  <si>
    <t>T994-00165088</t>
  </si>
  <si>
    <t>T994-00165089</t>
  </si>
  <si>
    <t>T994-00165084</t>
  </si>
  <si>
    <t>T994-00165085</t>
  </si>
  <si>
    <t>T994-00165083</t>
  </si>
  <si>
    <t>T994-00165079</t>
  </si>
  <si>
    <t>T994-00165081</t>
  </si>
  <si>
    <t>T994-00165080</t>
  </si>
  <si>
    <t>T994-00165082</t>
  </si>
  <si>
    <t>T994-00165077</t>
  </si>
  <si>
    <t>T994-00165076</t>
  </si>
  <si>
    <t>T994-00165078</t>
  </si>
  <si>
    <t>T994-00165075</t>
  </si>
  <si>
    <t>T994-00165071</t>
  </si>
  <si>
    <t>T994-00165074</t>
  </si>
  <si>
    <t>T994-00165073</t>
  </si>
  <si>
    <t>T994-00165072</t>
  </si>
  <si>
    <t>T994-00165067</t>
  </si>
  <si>
    <t>T994-00165069</t>
  </si>
  <si>
    <t>T994-00165070</t>
  </si>
  <si>
    <t>T994-00165068</t>
  </si>
  <si>
    <t>T994-00165064</t>
  </si>
  <si>
    <t>T994-00165065</t>
  </si>
  <si>
    <t>T994-00165066</t>
  </si>
  <si>
    <t>T994-00165060</t>
  </si>
  <si>
    <t>T994-00165062</t>
  </si>
  <si>
    <t>T994-00165059</t>
  </si>
  <si>
    <t>T994-00165063</t>
  </si>
  <si>
    <t>T994-00165061</t>
  </si>
  <si>
    <t>T994-00165058</t>
  </si>
  <si>
    <t>T994-00165055</t>
  </si>
  <si>
    <t>T994-00165056</t>
  </si>
  <si>
    <t>T994-00165057</t>
  </si>
  <si>
    <t>T994-00165052</t>
  </si>
  <si>
    <t>T994-00165051</t>
  </si>
  <si>
    <t>T994-00165054</t>
  </si>
  <si>
    <t>T994-00165053</t>
  </si>
  <si>
    <t>T994-00165049</t>
  </si>
  <si>
    <t>T994-00165050</t>
  </si>
  <si>
    <t>T994-00165048</t>
  </si>
  <si>
    <t>T994-00165047</t>
  </si>
  <si>
    <t>T994-00165046</t>
  </si>
  <si>
    <t>T994-00165044</t>
  </si>
  <si>
    <t>T994-00165045</t>
  </si>
  <si>
    <t>T994-00165041</t>
  </si>
  <si>
    <t>T994-00165040</t>
  </si>
  <si>
    <t>T994-00165042</t>
  </si>
  <si>
    <t>T994-00165043</t>
  </si>
  <si>
    <t>T994-00165039</t>
  </si>
  <si>
    <t>T994-00165037</t>
  </si>
  <si>
    <t>T994-00165038</t>
  </si>
  <si>
    <t>T994-00165036</t>
  </si>
  <si>
    <t>T994-00165032</t>
  </si>
  <si>
    <t>T994-00165035</t>
  </si>
  <si>
    <t>T994-00165034</t>
  </si>
  <si>
    <t>T994-00165033</t>
  </si>
  <si>
    <t>T994-00165031</t>
  </si>
  <si>
    <t>T994-00165029</t>
  </si>
  <si>
    <t>T994-00165030</t>
  </si>
  <si>
    <t>T994-00165028</t>
  </si>
  <si>
    <t>T994-00165027</t>
  </si>
  <si>
    <t>T994-00165023</t>
  </si>
  <si>
    <t>T994-00165025</t>
  </si>
  <si>
    <t>T994-00165026</t>
  </si>
  <si>
    <t>T994-00165024</t>
  </si>
  <si>
    <t>T994-00165019</t>
  </si>
  <si>
    <t>T994-00165022</t>
  </si>
  <si>
    <t>T994-00165021</t>
  </si>
  <si>
    <t>T994-00165020</t>
  </si>
  <si>
    <t>T994-00165015</t>
  </si>
  <si>
    <t>T994-00165017</t>
  </si>
  <si>
    <t>T994-00165016</t>
  </si>
  <si>
    <t>T994-00165018</t>
  </si>
  <si>
    <t>T994-00165014</t>
  </si>
  <si>
    <t>T994-00165011</t>
  </si>
  <si>
    <t>T994-00165012</t>
  </si>
  <si>
    <t>T994-00165013</t>
  </si>
  <si>
    <t>T994-00165010</t>
  </si>
  <si>
    <t>T994-00165009</t>
  </si>
  <si>
    <t>T994-00165008</t>
  </si>
  <si>
    <t>T994-00165004</t>
  </si>
  <si>
    <t>T994-00165007</t>
  </si>
  <si>
    <t>T994-00165006</t>
  </si>
  <si>
    <t>T994-00165005</t>
  </si>
  <si>
    <t>T994-00165003</t>
  </si>
  <si>
    <t>T994-00165000</t>
  </si>
  <si>
    <t>T994-00165001</t>
  </si>
  <si>
    <t>T994-00165002</t>
  </si>
  <si>
    <t>T994-00164998</t>
  </si>
  <si>
    <t>T994-00164996</t>
  </si>
  <si>
    <t>T994-00164997</t>
  </si>
  <si>
    <t>T994-00164999</t>
  </si>
  <si>
    <t>T994-00164995</t>
  </si>
  <si>
    <t>T994-00164991</t>
  </si>
  <si>
    <t>T994-00164992</t>
  </si>
  <si>
    <t>T994-00164994</t>
  </si>
  <si>
    <t>T994-00164993</t>
  </si>
  <si>
    <t>T994-00164990</t>
  </si>
  <si>
    <t>T994-00164988</t>
  </si>
  <si>
    <t>T994-00164989</t>
  </si>
  <si>
    <t>T994-00164987</t>
  </si>
  <si>
    <t>T994-00164984</t>
  </si>
  <si>
    <t>T994-00164985</t>
  </si>
  <si>
    <t>T994-00164986</t>
  </si>
  <si>
    <t>T994-00164981</t>
  </si>
  <si>
    <t>T994-00164983</t>
  </si>
  <si>
    <t>T994-00164982</t>
  </si>
  <si>
    <t>T994-00164980</t>
  </si>
  <si>
    <t>T994-00164978</t>
  </si>
  <si>
    <t>T994-00164979</t>
  </si>
  <si>
    <t>T994-00164977</t>
  </si>
  <si>
    <t>T994-00164976</t>
  </si>
  <si>
    <t>T994-00164975</t>
  </si>
  <si>
    <t>T994-00164973</t>
  </si>
  <si>
    <t>T994-00164974</t>
  </si>
  <si>
    <t>T994-00164969</t>
  </si>
  <si>
    <t>T994-00164970</t>
  </si>
  <si>
    <t>T994-00164972</t>
  </si>
  <si>
    <t>T994-00164971</t>
  </si>
  <si>
    <t>T994-00164968</t>
  </si>
  <si>
    <t>T994-00164967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</si>
</sst>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&quot;S/&quot;* #,##0.00_-;\-&quot;S/&quot;* #,##0.00_-;_-&quot;S/&quot;* &quot;-&quot;??_-;_-@_-"/>
    <numFmt numFmtId="166" formatCode="0000"/>
    <numFmt numFmtId="167" formatCode="_-* #,##0.000_-;\-* #,##0.00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Century Gothic"/>
      <family val="2"/>
    </font>
    <font>
      <sz val="9"/>
      <color theme="1"/>
      <name val="Century Gothic"/>
      <family val="2"/>
    </font>
    <font>
      <b/>
      <sz val="9"/>
      <color theme="1"/>
      <name val="Century Gothic"/>
      <family val="2"/>
    </font>
    <font>
      <b/>
      <sz val="7"/>
      <name val="Tahoma"/>
      <family val="2"/>
    </font>
    <font>
      <sz val="9"/>
      <name val="Century Gothic"/>
      <family val="2"/>
    </font>
    <font>
      <sz val="9"/>
      <color theme="1"/>
      <name val="Century Gothic"/>
      <family val="2"/>
    </font>
    <font>
      <sz val="7"/>
      <name val="Tahoma"/>
      <family val="2"/>
    </font>
    <font>
      <sz val="11"/>
      <name val="Calibri"/>
      <family val="2"/>
    </font>
    <font>
      <b/>
      <sz val="9"/>
      <color theme="1"/>
      <name val="Century Gothic"/>
      <family val="2"/>
    </font>
    <font>
      <b/>
      <sz val="9"/>
      <color theme="0"/>
      <name val="Century Gothic"/>
      <family val="2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1A8D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F0F0"/>
      </patternFill>
    </fill>
    <fill>
      <patternFill patternType="solid">
        <fgColor indexed="9"/>
      </patternFill>
    </fill>
    <fill>
      <patternFill patternType="solid">
        <fgColor rgb="FFF0F8FF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0F8FF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9" fillId="0" borderId="0">
      <alignment vertical="center"/>
    </xf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7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2" fillId="5" borderId="6" xfId="0" applyFont="1" applyFill="1" applyBorder="1" applyAlignment="1">
      <alignment horizontal="center" wrapText="1"/>
    </xf>
    <xf numFmtId="0" fontId="4" fillId="5" borderId="7" xfId="0" applyFont="1" applyFill="1" applyBorder="1"/>
    <xf numFmtId="0" fontId="3" fillId="0" borderId="8" xfId="0" applyFont="1" applyBorder="1"/>
    <xf numFmtId="0" fontId="4" fillId="5" borderId="9" xfId="0" applyFont="1" applyFill="1" applyBorder="1"/>
    <xf numFmtId="0" fontId="4" fillId="0" borderId="10" xfId="0" applyFont="1" applyBorder="1"/>
    <xf numFmtId="0" fontId="3" fillId="0" borderId="11" xfId="0" applyFont="1" applyBorder="1"/>
    <xf numFmtId="0" fontId="4" fillId="0" borderId="12" xfId="0" applyFont="1" applyBorder="1"/>
    <xf numFmtId="9" fontId="3" fillId="0" borderId="10" xfId="1" applyFont="1" applyBorder="1"/>
    <xf numFmtId="0" fontId="3" fillId="0" borderId="13" xfId="0" applyFont="1" applyBorder="1"/>
    <xf numFmtId="9" fontId="3" fillId="0" borderId="14" xfId="1" applyFont="1" applyBorder="1"/>
    <xf numFmtId="0" fontId="2" fillId="5" borderId="3" xfId="0" applyFont="1" applyFill="1" applyBorder="1" applyAlignment="1">
      <alignment horizontal="center" wrapText="1"/>
    </xf>
    <xf numFmtId="0" fontId="3" fillId="0" borderId="1" xfId="0" applyFont="1" applyBorder="1"/>
    <xf numFmtId="0" fontId="4" fillId="5" borderId="15" xfId="0" applyFont="1" applyFill="1" applyBorder="1"/>
    <xf numFmtId="0" fontId="3" fillId="0" borderId="18" xfId="0" applyFont="1" applyBorder="1"/>
    <xf numFmtId="0" fontId="3" fillId="0" borderId="19" xfId="0" applyFont="1" applyBorder="1"/>
    <xf numFmtId="9" fontId="3" fillId="0" borderId="20" xfId="1" applyFont="1" applyBorder="1"/>
    <xf numFmtId="0" fontId="4" fillId="5" borderId="16" xfId="0" applyFont="1" applyFill="1" applyBorder="1" applyAlignment="1">
      <alignment horizontal="center"/>
    </xf>
    <xf numFmtId="0" fontId="4" fillId="5" borderId="17" xfId="0" applyFont="1" applyFill="1" applyBorder="1" applyAlignment="1">
      <alignment horizontal="center"/>
    </xf>
    <xf numFmtId="0" fontId="5" fillId="7" borderId="21" xfId="0" applyFont="1" applyFill="1" applyBorder="1" applyAlignment="1">
      <alignment horizontal="center" vertical="center"/>
    </xf>
    <xf numFmtId="0" fontId="5" fillId="7" borderId="2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6" fontId="4" fillId="3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/>
    <xf numFmtId="0" fontId="7" fillId="0" borderId="1" xfId="0" applyFont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166" fontId="8" fillId="9" borderId="23" xfId="0" applyNumberFormat="1" applyFont="1" applyFill="1" applyBorder="1" applyAlignment="1">
      <alignment horizontal="center" vertical="top"/>
    </xf>
    <xf numFmtId="166" fontId="8" fillId="8" borderId="23" xfId="0" applyNumberFormat="1" applyFont="1" applyFill="1" applyBorder="1" applyAlignment="1">
      <alignment horizontal="center" vertical="top"/>
    </xf>
    <xf numFmtId="0" fontId="0" fillId="0" borderId="5" xfId="0" applyBorder="1" applyAlignment="1">
      <alignment horizontal="center" vertical="center"/>
    </xf>
    <xf numFmtId="0" fontId="3" fillId="0" borderId="2" xfId="0" applyFont="1" applyBorder="1" applyAlignment="1">
      <alignment horizontal="left" wrapText="1"/>
    </xf>
    <xf numFmtId="0" fontId="2" fillId="5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11" fillId="5" borderId="3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167" fontId="11" fillId="5" borderId="3" xfId="5" applyNumberFormat="1" applyFont="1" applyFill="1" applyBorder="1" applyAlignment="1">
      <alignment horizontal="center" wrapText="1"/>
    </xf>
    <xf numFmtId="167" fontId="0" fillId="0" borderId="0" xfId="5" applyNumberFormat="1" applyFont="1"/>
    <xf numFmtId="0" fontId="12" fillId="5" borderId="6" xfId="0" applyFont="1" applyFill="1" applyBorder="1" applyAlignment="1">
      <alignment horizontal="center" wrapText="1"/>
    </xf>
    <xf numFmtId="0" fontId="12" fillId="5" borderId="3" xfId="0" applyFont="1" applyFill="1" applyBorder="1" applyAlignment="1">
      <alignment horizontal="center" wrapText="1"/>
    </xf>
    <xf numFmtId="0" fontId="12" fillId="6" borderId="4" xfId="0" applyFont="1" applyFill="1" applyBorder="1" applyAlignment="1">
      <alignment horizontal="center" wrapText="1"/>
    </xf>
    <xf numFmtId="0" fontId="13" fillId="0" borderId="0" xfId="0" applyFont="1" applyAlignment="1">
      <alignment horizontal="center"/>
    </xf>
    <xf numFmtId="14" fontId="13" fillId="0" borderId="5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165" fontId="13" fillId="0" borderId="1" xfId="4" applyFont="1" applyFill="1" applyBorder="1" applyAlignment="1">
      <alignment horizontal="center"/>
    </xf>
    <xf numFmtId="14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14" fontId="0" fillId="0" borderId="0" xfId="0" applyNumberFormat="1"/>
    <xf numFmtId="9" fontId="0" fillId="0" borderId="0" xfId="1" applyFont="1"/>
    <xf numFmtId="0" fontId="0" fillId="2" borderId="1" xfId="0" applyFill="1" applyBorder="1"/>
    <xf numFmtId="9" fontId="0" fillId="2" borderId="1" xfId="1" applyFont="1" applyFill="1" applyBorder="1"/>
    <xf numFmtId="0" fontId="0" fillId="0" borderId="1" xfId="0" applyBorder="1"/>
    <xf numFmtId="9" fontId="0" fillId="0" borderId="1" xfId="1" applyFont="1" applyBorder="1"/>
    <xf numFmtId="0" fontId="8" fillId="8" borderId="23" xfId="0" applyFont="1" applyFill="1" applyBorder="1" applyAlignment="1">
      <alignment horizontal="left" vertical="top"/>
    </xf>
    <xf numFmtId="0" fontId="8" fillId="9" borderId="23" xfId="0" applyFont="1" applyFill="1" applyBorder="1" applyAlignment="1">
      <alignment horizontal="left" vertical="top"/>
    </xf>
    <xf numFmtId="0" fontId="0" fillId="0" borderId="1" xfId="0" applyBorder="1" applyAlignment="1">
      <alignment horizontal="center"/>
    </xf>
    <xf numFmtId="166" fontId="8" fillId="11" borderId="23" xfId="0" applyNumberFormat="1" applyFont="1" applyFill="1" applyBorder="1" applyAlignment="1">
      <alignment horizontal="center" vertical="top"/>
    </xf>
    <xf numFmtId="0" fontId="8" fillId="12" borderId="23" xfId="0" applyFont="1" applyFill="1" applyBorder="1" applyAlignment="1">
      <alignment horizontal="left" vertical="top"/>
    </xf>
  </cellXfs>
  <cellStyles count="6">
    <cellStyle name="Millares" xfId="5" builtinId="3"/>
    <cellStyle name="Moneda" xfId="4" builtinId="4"/>
    <cellStyle name="Normal" xfId="0" builtinId="0"/>
    <cellStyle name="Normal 2 3" xfId="2" xr:uid="{00000000-0005-0000-0000-000003000000}"/>
    <cellStyle name="Normal 46" xfId="3" xr:uid="{00000000-0005-0000-0000-000004000000}"/>
    <cellStyle name="Porcentaje" xfId="1" builtinId="5"/>
  </cellStyles>
  <dxfs count="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9"/>
        <name val="Century Gothic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name val="Century Gothic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entury Gothic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ahoma"/>
        <scheme val="none"/>
      </font>
      <numFmt numFmtId="0" formatCode="General"/>
      <fill>
        <patternFill patternType="solid">
          <fgColor indexed="64"/>
          <bgColor rgb="FFF0F8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ahoma"/>
        <scheme val="none"/>
      </font>
      <numFmt numFmtId="166" formatCode="0000"/>
      <fill>
        <patternFill patternType="solid">
          <fgColor indexed="64"/>
          <bgColor indexed="9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border outline="0">
        <top style="thin">
          <color indexed="8"/>
        </top>
      </border>
    </dxf>
    <dxf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alignment vertical="center" textRotation="0" wrapText="0" indent="0" justifyLastLine="0" shrinkToFit="0" readingOrder="0"/>
    </dxf>
    <dxf>
      <border outline="0"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ahoma"/>
        <scheme val="none"/>
      </font>
      <fill>
        <patternFill patternType="solid">
          <fgColor indexed="64"/>
          <bgColor rgb="FFF0F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numFmt numFmtId="167" formatCode="_-* #,##0.000_-;\-* #,##0.000_-;_-* &quot;-&quot;??_-;_-@_-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entury Gothic"/>
        <scheme val="none"/>
      </font>
      <fill>
        <patternFill patternType="solid">
          <fgColor indexed="64"/>
          <bgColor rgb="FFE1A8D4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name val="Arial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8" formatCode="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5" formatCode="_-&quot;S/&quot;* #,##0.00_-;\-&quot;S/&quot;* #,##0.00_-;_-&quot;S/&quot;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name val="Arial"/>
        <scheme val="none"/>
      </font>
      <numFmt numFmtId="168" formatCode="d/mm/yyyy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Arial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none"/>
      </font>
      <fill>
        <patternFill patternType="solid">
          <fgColor indexed="64"/>
          <bgColor rgb="FF7030A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D6782A"/>
      <color rgb="FFE1A8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E1A8D4"/>
            </a:solidFill>
          </c:spPr>
          <c:dPt>
            <c:idx val="0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C1B-4ABD-876C-98D86A23217C}"/>
              </c:ext>
            </c:extLst>
          </c:dPt>
          <c:dPt>
            <c:idx val="1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C1B-4ABD-876C-98D86A23217C}"/>
              </c:ext>
            </c:extLst>
          </c:dPt>
          <c:dPt>
            <c:idx val="2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C1B-4ABD-876C-98D86A23217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FC1B-4ABD-876C-98D86A23217C}"/>
                </c:ext>
              </c:extLst>
            </c:dLbl>
            <c:dLbl>
              <c:idx val="1"/>
              <c:layout>
                <c:manualLayout>
                  <c:x val="-1.7497812773403329E-2"/>
                  <c:y val="-0.1628867543837151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268171203009073"/>
                      <c:h val="0.1680512452230116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C1B-4ABD-876C-98D86A23217C}"/>
                </c:ext>
              </c:extLst>
            </c:dLbl>
            <c:dLbl>
              <c:idx val="2"/>
              <c:layout>
                <c:manualLayout>
                  <c:x val="0.40244969378827644"/>
                  <c:y val="8.145331589251668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C1B-4ABD-876C-98D86A2321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kpi!$E$14:$E$16</c:f>
              <c:strCache>
                <c:ptCount val="3"/>
                <c:pt idx="0">
                  <c:v>% ENTREGADO</c:v>
                </c:pt>
                <c:pt idx="1">
                  <c:v>%EN RUTA</c:v>
                </c:pt>
                <c:pt idx="2">
                  <c:v>% REZAGADO</c:v>
                </c:pt>
              </c:strCache>
            </c:strRef>
          </c:cat>
          <c:val>
            <c:numRef>
              <c:f>kpi!$F$14:$F$16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1B-4ABD-876C-98D86A23217C}"/>
            </c:ext>
          </c:extLst>
        </c:ser>
        <c:dLbls>
          <c:dLblPos val="in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E1A8D4"/>
            </a:solidFill>
          </c:spPr>
          <c:dPt>
            <c:idx val="0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282-41EA-8AF3-E6FF7E0719A6}"/>
              </c:ext>
            </c:extLst>
          </c:dPt>
          <c:dPt>
            <c:idx val="1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282-41EA-8AF3-E6FF7E0719A6}"/>
              </c:ext>
            </c:extLst>
          </c:dPt>
          <c:dPt>
            <c:idx val="2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282-41EA-8AF3-E6FF7E0719A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C282-41EA-8AF3-E6FF7E0719A6}"/>
                </c:ext>
              </c:extLst>
            </c:dLbl>
            <c:dLbl>
              <c:idx val="1"/>
              <c:layout>
                <c:manualLayout>
                  <c:x val="-0.39370078740157483"/>
                  <c:y val="8.145331589251668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282-41EA-8AF3-E6FF7E0719A6}"/>
                </c:ext>
              </c:extLst>
            </c:dLbl>
            <c:dLbl>
              <c:idx val="2"/>
              <c:layout>
                <c:manualLayout>
                  <c:x val="0.35433070866141714"/>
                  <c:y val="5.973778929099659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282-41EA-8AF3-E6FF7E0719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kpi!$I$14:$I$16</c:f>
              <c:strCache>
                <c:ptCount val="3"/>
                <c:pt idx="0">
                  <c:v>% ENTREGADO</c:v>
                </c:pt>
                <c:pt idx="1">
                  <c:v>%EN RUTA</c:v>
                </c:pt>
                <c:pt idx="2">
                  <c:v>% REZAGADO</c:v>
                </c:pt>
              </c:strCache>
            </c:strRef>
          </c:cat>
          <c:val>
            <c:numRef>
              <c:f>kpi!$J$14:$J$16</c:f>
              <c:numCache>
                <c:formatCode>0%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82-41EA-8AF3-E6FF7E0719A6}"/>
            </c:ext>
          </c:extLst>
        </c:ser>
        <c:dLbls>
          <c:dLblPos val="in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E1A8D4"/>
            </a:solidFill>
          </c:spPr>
          <c:dPt>
            <c:idx val="0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E89-4EF6-8D06-0943C4D9190D}"/>
              </c:ext>
            </c:extLst>
          </c:dPt>
          <c:dPt>
            <c:idx val="1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E89-4EF6-8D06-0943C4D9190D}"/>
              </c:ext>
            </c:extLst>
          </c:dPt>
          <c:dPt>
            <c:idx val="2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E89-4EF6-8D06-0943C4D9190D}"/>
              </c:ext>
            </c:extLst>
          </c:dPt>
          <c:dLbls>
            <c:dLbl>
              <c:idx val="0"/>
              <c:layout>
                <c:manualLayout>
                  <c:x val="-0.37620297462817148"/>
                  <c:y val="4.345071686886044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E89-4EF6-8D06-0943C4D9190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E89-4EF6-8D06-0943C4D9190D}"/>
                </c:ext>
              </c:extLst>
            </c:dLbl>
            <c:dLbl>
              <c:idx val="2"/>
              <c:layout>
                <c:manualLayout>
                  <c:x val="0.38495188101487299"/>
                  <c:y val="5.448972787196381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E89-4EF6-8D06-0943C4D919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kpi!$M$14:$M$16</c:f>
              <c:strCache>
                <c:ptCount val="3"/>
                <c:pt idx="0">
                  <c:v>% ENTREGADO</c:v>
                </c:pt>
                <c:pt idx="1">
                  <c:v>%EN RUTA</c:v>
                </c:pt>
                <c:pt idx="2">
                  <c:v>% REZAGADO</c:v>
                </c:pt>
              </c:strCache>
            </c:strRef>
          </c:cat>
          <c:val>
            <c:numRef>
              <c:f>kpi!$N$14:$N$16</c:f>
              <c:numCache>
                <c:formatCode>0%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89-4EF6-8D06-0943C4D9190D}"/>
            </c:ext>
          </c:extLst>
        </c:ser>
        <c:dLbls>
          <c:dLblPos val="in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E1A8D4"/>
            </a:solidFill>
          </c:spPr>
          <c:dPt>
            <c:idx val="0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8AC-4C5A-AD00-11AD0FE8DC58}"/>
              </c:ext>
            </c:extLst>
          </c:dPt>
          <c:dPt>
            <c:idx val="1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8AC-4C5A-AD00-11AD0FE8DC58}"/>
              </c:ext>
            </c:extLst>
          </c:dPt>
          <c:dPt>
            <c:idx val="2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8AC-4C5A-AD00-11AD0FE8DC5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88AC-4C5A-AD00-11AD0FE8DC58}"/>
                </c:ext>
              </c:extLst>
            </c:dLbl>
            <c:dLbl>
              <c:idx val="1"/>
              <c:layout>
                <c:manualLayout>
                  <c:x val="0.23832020997375325"/>
                  <c:y val="-0.270385023126180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456272690323159"/>
                      <c:h val="0.1734801268733916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8AC-4C5A-AD00-11AD0FE8DC58}"/>
                </c:ext>
              </c:extLst>
            </c:dLbl>
            <c:dLbl>
              <c:idx val="2"/>
              <c:layout>
                <c:manualLayout>
                  <c:x val="0.35870516185476797"/>
                  <c:y val="3.802226268947651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8AC-4C5A-AD00-11AD0FE8DC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kpi!$A$14:$A$16</c:f>
              <c:strCache>
                <c:ptCount val="3"/>
                <c:pt idx="0">
                  <c:v>% ENTREGADO</c:v>
                </c:pt>
                <c:pt idx="1">
                  <c:v>%EN RUTA</c:v>
                </c:pt>
                <c:pt idx="2">
                  <c:v>% REZAGADO</c:v>
                </c:pt>
              </c:strCache>
            </c:strRef>
          </c:cat>
          <c:val>
            <c:numRef>
              <c:f>kpi!$B$14:$B$16</c:f>
              <c:numCache>
                <c:formatCode>0%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AC-4C5A-AD00-11AD0FE8DC58}"/>
            </c:ext>
          </c:extLst>
        </c:ser>
        <c:dLbls>
          <c:dLblPos val="in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60960</xdr:rowOff>
    </xdr:from>
    <xdr:to>
      <xdr:col>1</xdr:col>
      <xdr:colOff>185951</xdr:colOff>
      <xdr:row>3</xdr:row>
      <xdr:rowOff>7620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960"/>
          <a:ext cx="1717571" cy="449580"/>
        </a:xfrm>
        <a:prstGeom prst="rect">
          <a:avLst/>
        </a:prstGeom>
      </xdr:spPr>
    </xdr:pic>
    <xdr:clientData/>
  </xdr:twoCellAnchor>
  <xdr:twoCellAnchor>
    <xdr:from>
      <xdr:col>3</xdr:col>
      <xdr:colOff>464820</xdr:colOff>
      <xdr:row>22</xdr:row>
      <xdr:rowOff>22860</xdr:rowOff>
    </xdr:from>
    <xdr:to>
      <xdr:col>6</xdr:col>
      <xdr:colOff>381000</xdr:colOff>
      <xdr:row>36</xdr:row>
      <xdr:rowOff>15240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541020</xdr:colOff>
      <xdr:row>22</xdr:row>
      <xdr:rowOff>0</xdr:rowOff>
    </xdr:from>
    <xdr:to>
      <xdr:col>10</xdr:col>
      <xdr:colOff>457200</xdr:colOff>
      <xdr:row>35</xdr:row>
      <xdr:rowOff>160020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21</xdr:row>
      <xdr:rowOff>152400</xdr:rowOff>
    </xdr:from>
    <xdr:to>
      <xdr:col>14</xdr:col>
      <xdr:colOff>297180</xdr:colOff>
      <xdr:row>35</xdr:row>
      <xdr:rowOff>144780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</xdr:colOff>
      <xdr:row>22</xdr:row>
      <xdr:rowOff>0</xdr:rowOff>
    </xdr:from>
    <xdr:to>
      <xdr:col>2</xdr:col>
      <xdr:colOff>693420</xdr:colOff>
      <xdr:row>35</xdr:row>
      <xdr:rowOff>160020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6:N214" totalsRowShown="0" headerRowDxfId="62" dataDxfId="60" headerRowBorderDxfId="61" tableBorderDxfId="59" totalsRowBorderDxfId="58">
  <autoFilter ref="A6:N214" xr:uid="{00000000-0009-0000-0100-000001000000}"/>
  <sortState xmlns:xlrd2="http://schemas.microsoft.com/office/spreadsheetml/2017/richdata2" ref="A7:N207">
    <sortCondition ref="D6:D207"/>
  </sortState>
  <tableColumns count="14">
    <tableColumn id="1" xr3:uid="{00000000-0010-0000-0000-000001000000}" name="FECHA DESPACHO" dataDxfId="57"/>
    <tableColumn id="2" xr3:uid="{00000000-0010-0000-0000-000002000000}" name="TIENDA" dataDxfId="56"/>
    <tableColumn id="3" xr3:uid="{00000000-0010-0000-0000-000003000000}" name="ID TIENDA" dataDxfId="55"/>
    <tableColumn id="4" xr3:uid="{00000000-0010-0000-0000-000004000000}" name="RUTA" dataDxfId="54"/>
    <tableColumn id="14" xr3:uid="{00000000-0010-0000-0000-00000E000000}" name="GUIA" dataDxfId="53">
      <calculatedColumnFormula>VLOOKUP(Tabla1[[#This Row],[ID TIENDA]],Guias[],2,0)</calculatedColumnFormula>
    </tableColumn>
    <tableColumn id="13" xr3:uid="{00000000-0010-0000-0000-00000D000000}" name="VALOR" dataDxfId="52" dataCellStyle="Moneda"/>
    <tableColumn id="5" xr3:uid="{00000000-0010-0000-0000-000005000000}" name="PROVEEDOR" dataDxfId="51">
      <calculatedColumnFormula>IFERROR(VLOOKUP(Tabla1[[#This Row],[RUTA]],Tabla2[#All],3,0),"")</calculatedColumnFormula>
    </tableColumn>
    <tableColumn id="6" xr3:uid="{00000000-0010-0000-0000-000006000000}" name="PLACA" dataDxfId="50">
      <calculatedColumnFormula>IFERROR(VLOOKUP(Tabla1[[#This Row],[RUTA]],Tabla2[[#All],[RUTA]:[PLACAS]],2,0),"")</calculatedColumnFormula>
    </tableColumn>
    <tableColumn id="7" xr3:uid="{00000000-0010-0000-0000-000007000000}" name="CONDUCTOR" dataDxfId="49">
      <calculatedColumnFormula>IFERROR(VLOOKUP(Tabla1[[#This Row],[RUTA]],Tabla2[[#All],[RUTA]:[CONDUCTOR]],4,0),"")</calculatedColumnFormula>
    </tableColumn>
    <tableColumn id="8" xr3:uid="{00000000-0010-0000-0000-000008000000}" name="AUXILIAR" dataDxfId="48">
      <calculatedColumnFormula>IFERROR(VLOOKUP(Tabla1[[#This Row],[RUTA]],Tabla2[#All],5,0),"")</calculatedColumnFormula>
    </tableColumn>
    <tableColumn id="9" xr3:uid="{00000000-0010-0000-0000-000009000000}" name="ESTADO" dataDxfId="47"/>
    <tableColumn id="11" xr3:uid="{00000000-0010-0000-0000-00000B000000}" name="FECHA DE ENTREGA" dataDxfId="46"/>
    <tableColumn id="10" xr3:uid="{00000000-0010-0000-0000-00000A000000}" name="OBSERVACIÓN" dataDxfId="45"/>
    <tableColumn id="12" xr3:uid="{00000000-0010-0000-0000-00000C000000}" name="ENTREGAS CONFORME" dataDxfId="44">
      <calculatedColumnFormula>IF(Tabla1[[#This Row],[ESTADO]]="ENTREGADO",IF(Tabla1[[#This Row],[OBSERVACIÓN]]="OK","SI","NO"),"")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a5" displayName="Tabla5" ref="A1:M85" totalsRowShown="0" headerRowDxfId="43" headerRowBorderDxfId="42" tableBorderDxfId="41" totalsRowBorderDxfId="40">
  <autoFilter ref="A1:M85" xr:uid="{00000000-0009-0000-0100-000005000000}"/>
  <tableColumns count="13">
    <tableColumn id="1" xr3:uid="{00000000-0010-0000-0100-000001000000}" name="ID TIENDA" dataDxfId="39"/>
    <tableColumn id="2" xr3:uid="{00000000-0010-0000-0100-000002000000}" name="TIENDA" dataDxfId="38"/>
    <tableColumn id="3" xr3:uid="{00000000-0010-0000-0100-000003000000}" name="PROVEEDOR" dataDxfId="37"/>
    <tableColumn id="5" xr3:uid="{00000000-0010-0000-0100-000005000000}" name="ruta" dataDxfId="36"/>
    <tableColumn id="4" xr3:uid="{00000000-0010-0000-0100-000004000000}" name="OBSERVACIÓN" dataDxfId="35"/>
    <tableColumn id="6" xr3:uid="{00000000-0010-0000-0100-000006000000}" name="sku"/>
    <tableColumn id="7" xr3:uid="{00000000-0010-0000-0100-000007000000}" name="cantidad" dataDxfId="34"/>
    <tableColumn id="8" xr3:uid="{00000000-0010-0000-0100-000008000000}" name="status" dataDxfId="33"/>
    <tableColumn id="13" xr3:uid="{00000000-0010-0000-0100-00000D000000}" name="IND2" dataDxfId="32"/>
    <tableColumn id="12" xr3:uid="{00000000-0010-0000-0100-00000C000000}" name="IND3"/>
    <tableColumn id="9" xr3:uid="{00000000-0010-0000-0100-000009000000}" name="descripcion" dataDxfId="31"/>
    <tableColumn id="10" xr3:uid="{00000000-0010-0000-0100-00000A000000}" name="ue" dataDxfId="30"/>
    <tableColumn id="11" xr3:uid="{00000000-0010-0000-0100-00000B000000}" name="bultos" dataDxfId="29" dataCellStyle="Millare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A2:A8" totalsRowShown="0">
  <autoFilter ref="A2:A8" xr:uid="{00000000-0009-0000-0100-000003000000}"/>
  <tableColumns count="1">
    <tableColumn id="1" xr3:uid="{00000000-0010-0000-0200-000001000000}" name="PROVEEDO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Guias" displayName="Guias" ref="D2:E210" totalsRowShown="0" headerRowDxfId="28" dataDxfId="26" headerRowBorderDxfId="27" tableBorderDxfId="25" totalsRowBorderDxfId="24">
  <autoFilter ref="D2:E210" xr:uid="{00000000-0009-0000-0100-000004000000}"/>
  <sortState xmlns:xlrd2="http://schemas.microsoft.com/office/spreadsheetml/2017/richdata2" ref="D3:E295">
    <sortCondition ref="D2:D494"/>
  </sortState>
  <tableColumns count="2">
    <tableColumn id="1" xr3:uid="{00000000-0010-0000-0300-000001000000}" name="Sale a Tda #" dataDxfId="23"/>
    <tableColumn id="2" xr3:uid="{00000000-0010-0000-0300-000002000000}" name="Nro Fisico" dataDxfId="2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la2" displayName="Tabla2" ref="A1:E17" totalsRowShown="0" headerRowDxfId="21" dataDxfId="19" headerRowBorderDxfId="20" tableBorderDxfId="18" totalsRowBorderDxfId="17">
  <tableColumns count="5">
    <tableColumn id="1" xr3:uid="{00000000-0010-0000-0400-000001000000}" name="RUTA" dataDxfId="16"/>
    <tableColumn id="2" xr3:uid="{00000000-0010-0000-0400-000002000000}" name="PLACAS" dataDxfId="15"/>
    <tableColumn id="3" xr3:uid="{00000000-0010-0000-0400-000003000000}" name="PROVEEDOR" dataDxfId="14"/>
    <tableColumn id="4" xr3:uid="{00000000-0010-0000-0400-000004000000}" name="CONDUCTOR" dataDxfId="13"/>
    <tableColumn id="5" xr3:uid="{00000000-0010-0000-0400-000005000000}" name="AUXILIAR" dataDxfId="1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214"/>
  <sheetViews>
    <sheetView tabSelected="1" topLeftCell="A6" workbookViewId="0">
      <selection activeCell="E14" sqref="E14"/>
    </sheetView>
  </sheetViews>
  <sheetFormatPr baseColWidth="10" defaultColWidth="11.5703125" defaultRowHeight="12" x14ac:dyDescent="0.2"/>
  <cols>
    <col min="1" max="1" width="14.7109375" style="47" bestFit="1" customWidth="1"/>
    <col min="2" max="2" width="22.7109375" style="47" bestFit="1" customWidth="1"/>
    <col min="3" max="3" width="13.42578125" style="47" bestFit="1" customWidth="1"/>
    <col min="4" max="4" width="10" style="47" bestFit="1" customWidth="1"/>
    <col min="5" max="5" width="19.28515625" style="47" bestFit="1" customWidth="1"/>
    <col min="6" max="6" width="11.5703125" style="47" bestFit="1" customWidth="1"/>
    <col min="7" max="7" width="15.85546875" style="47" bestFit="1" customWidth="1"/>
    <col min="8" max="8" width="11.140625" style="47" bestFit="1" customWidth="1"/>
    <col min="9" max="9" width="16" style="47" bestFit="1" customWidth="1"/>
    <col min="10" max="10" width="13.140625" style="47" bestFit="1" customWidth="1"/>
    <col min="11" max="11" width="12.28515625" style="55" bestFit="1" customWidth="1"/>
    <col min="12" max="12" width="13.42578125" style="55" bestFit="1" customWidth="1"/>
    <col min="13" max="13" width="17.5703125" style="47" bestFit="1" customWidth="1"/>
    <col min="14" max="14" width="14.85546875" style="47" bestFit="1" customWidth="1"/>
    <col min="15" max="16384" width="11.5703125" style="47"/>
  </cols>
  <sheetData>
    <row r="1" spans="1:14" hidden="1" x14ac:dyDescent="0.2"/>
    <row r="2" spans="1:14" hidden="1" x14ac:dyDescent="0.2"/>
    <row r="3" spans="1:14" hidden="1" x14ac:dyDescent="0.2"/>
    <row r="4" spans="1:14" hidden="1" x14ac:dyDescent="0.2"/>
    <row r="5" spans="1:14" hidden="1" x14ac:dyDescent="0.2"/>
    <row r="6" spans="1:14" ht="24" x14ac:dyDescent="0.2">
      <c r="A6" s="44" t="s">
        <v>15</v>
      </c>
      <c r="B6" s="45" t="s">
        <v>0</v>
      </c>
      <c r="C6" s="45" t="s">
        <v>1</v>
      </c>
      <c r="D6" s="45" t="s">
        <v>2</v>
      </c>
      <c r="E6" s="45" t="s">
        <v>31</v>
      </c>
      <c r="F6" s="45" t="s">
        <v>34</v>
      </c>
      <c r="G6" s="45" t="s">
        <v>8</v>
      </c>
      <c r="H6" s="45" t="s">
        <v>3</v>
      </c>
      <c r="I6" s="45" t="s">
        <v>21</v>
      </c>
      <c r="J6" s="45" t="s">
        <v>4</v>
      </c>
      <c r="K6" s="45" t="s">
        <v>5</v>
      </c>
      <c r="L6" s="45" t="s">
        <v>24</v>
      </c>
      <c r="M6" s="45" t="s">
        <v>6</v>
      </c>
      <c r="N6" s="46" t="s">
        <v>25</v>
      </c>
    </row>
    <row r="7" spans="1:14" x14ac:dyDescent="0.2">
      <c r="A7" s="48">
        <v>45162</v>
      </c>
      <c r="B7" s="49" t="s">
        <v>101</v>
      </c>
      <c r="C7" s="49">
        <v>211</v>
      </c>
      <c r="D7" s="49">
        <v>1</v>
      </c>
      <c r="E7" s="49" t="str">
        <f>VLOOKUP(Tabla1[[#This Row],[ID TIENDA]],Guias[],2,0)</f>
        <v>T994-00164967</v>
      </c>
      <c r="F7" s="51">
        <v>2205.6799999999998</v>
      </c>
      <c r="G7" s="49" t="str">
        <f>IFERROR(VLOOKUP(Tabla1[[#This Row],[RUTA]],Tabla2[#All],3,0),"")</f>
        <v>PALOMINO</v>
      </c>
      <c r="H7" s="49" t="str">
        <f>IFERROR(VLOOKUP(Tabla1[[#This Row],[RUTA]],Tabla2[[#All],[RUTA]:[PLACAS]],2,0),"")</f>
        <v>BD4-825</v>
      </c>
      <c r="I7" s="49" t="str">
        <f>IFERROR(VLOOKUP(Tabla1[[#This Row],[RUTA]],Tabla2[[#All],[RUTA]:[CONDUCTOR]],4,0),"")</f>
        <v>EDGAR</v>
      </c>
      <c r="J7" s="49" t="str">
        <f>IFERROR(VLOOKUP(Tabla1[[#This Row],[RUTA]],Tabla2[#All],5,0),"")</f>
        <v>KOKI</v>
      </c>
      <c r="K7" s="50" t="s">
        <v>16</v>
      </c>
      <c r="L7" s="52"/>
      <c r="M7" s="53"/>
      <c r="N7" s="54" t="str">
        <f>IF(Tabla1[[#This Row],[ESTADO]]="ENTREGADO",IF(Tabla1[[#This Row],[OBSERVACIÓN]]="OK","SI","NO"),"")</f>
        <v/>
      </c>
    </row>
    <row r="8" spans="1:14" x14ac:dyDescent="0.2">
      <c r="A8" s="48">
        <v>45162</v>
      </c>
      <c r="B8" s="49" t="s">
        <v>102</v>
      </c>
      <c r="C8" s="49">
        <v>301</v>
      </c>
      <c r="D8" s="49">
        <v>1</v>
      </c>
      <c r="E8" s="49" t="str">
        <f>VLOOKUP(Tabla1[[#This Row],[ID TIENDA]],Guias[],2,0)</f>
        <v>T994-00165018</v>
      </c>
      <c r="F8" s="51">
        <v>2163.39</v>
      </c>
      <c r="G8" s="49" t="str">
        <f>IFERROR(VLOOKUP(Tabla1[[#This Row],[RUTA]],Tabla2[#All],3,0),"")</f>
        <v>PALOMINO</v>
      </c>
      <c r="H8" s="49" t="str">
        <f>IFERROR(VLOOKUP(Tabla1[[#This Row],[RUTA]],Tabla2[[#All],[RUTA]:[PLACAS]],2,0),"")</f>
        <v>BD4-825</v>
      </c>
      <c r="I8" s="49" t="str">
        <f>IFERROR(VLOOKUP(Tabla1[[#This Row],[RUTA]],Tabla2[[#All],[RUTA]:[CONDUCTOR]],4,0),"")</f>
        <v>EDGAR</v>
      </c>
      <c r="J8" s="49" t="str">
        <f>IFERROR(VLOOKUP(Tabla1[[#This Row],[RUTA]],Tabla2[#All],5,0),"")</f>
        <v>KOKI</v>
      </c>
      <c r="K8" s="50" t="s">
        <v>16</v>
      </c>
      <c r="L8" s="52"/>
      <c r="M8" s="53"/>
      <c r="N8" s="54" t="str">
        <f>IF(Tabla1[[#This Row],[ESTADO]]="ENTREGADO",IF(Tabla1[[#This Row],[OBSERVACIÓN]]="OK","SI","NO"),"")</f>
        <v/>
      </c>
    </row>
    <row r="9" spans="1:14" x14ac:dyDescent="0.2">
      <c r="A9" s="48">
        <v>45162</v>
      </c>
      <c r="B9" s="49" t="s">
        <v>103</v>
      </c>
      <c r="C9" s="49">
        <v>165</v>
      </c>
      <c r="D9" s="49">
        <v>1</v>
      </c>
      <c r="E9" s="49" t="str">
        <f>VLOOKUP(Tabla1[[#This Row],[ID TIENDA]],Guias[],2,0)</f>
        <v>T994-00164990</v>
      </c>
      <c r="F9" s="51">
        <v>1768.3</v>
      </c>
      <c r="G9" s="49" t="str">
        <f>IFERROR(VLOOKUP(Tabla1[[#This Row],[RUTA]],Tabla2[#All],3,0),"")</f>
        <v>PALOMINO</v>
      </c>
      <c r="H9" s="49" t="str">
        <f>IFERROR(VLOOKUP(Tabla1[[#This Row],[RUTA]],Tabla2[[#All],[RUTA]:[PLACAS]],2,0),"")</f>
        <v>BD4-825</v>
      </c>
      <c r="I9" s="49" t="str">
        <f>IFERROR(VLOOKUP(Tabla1[[#This Row],[RUTA]],Tabla2[[#All],[RUTA]:[CONDUCTOR]],4,0),"")</f>
        <v>EDGAR</v>
      </c>
      <c r="J9" s="49" t="str">
        <f>IFERROR(VLOOKUP(Tabla1[[#This Row],[RUTA]],Tabla2[#All],5,0),"")</f>
        <v>KOKI</v>
      </c>
      <c r="K9" s="50" t="s">
        <v>16</v>
      </c>
      <c r="L9" s="52"/>
      <c r="M9" s="53"/>
      <c r="N9" s="54" t="str">
        <f>IF(Tabla1[[#This Row],[ESTADO]]="ENTREGADO",IF(Tabla1[[#This Row],[OBSERVACIÓN]]="OK","SI","NO"),"")</f>
        <v/>
      </c>
    </row>
    <row r="10" spans="1:14" x14ac:dyDescent="0.2">
      <c r="A10" s="48">
        <v>45162</v>
      </c>
      <c r="B10" s="49" t="s">
        <v>104</v>
      </c>
      <c r="C10" s="49">
        <v>394</v>
      </c>
      <c r="D10" s="49">
        <v>1</v>
      </c>
      <c r="E10" s="49" t="str">
        <f>VLOOKUP(Tabla1[[#This Row],[ID TIENDA]],Guias[],2,0)</f>
        <v>T994-00165158</v>
      </c>
      <c r="F10" s="51">
        <v>1798.39</v>
      </c>
      <c r="G10" s="49" t="str">
        <f>IFERROR(VLOOKUP(Tabla1[[#This Row],[RUTA]],Tabla2[#All],3,0),"")</f>
        <v>PALOMINO</v>
      </c>
      <c r="H10" s="49" t="str">
        <f>IFERROR(VLOOKUP(Tabla1[[#This Row],[RUTA]],Tabla2[[#All],[RUTA]:[PLACAS]],2,0),"")</f>
        <v>BD4-825</v>
      </c>
      <c r="I10" s="49" t="str">
        <f>IFERROR(VLOOKUP(Tabla1[[#This Row],[RUTA]],Tabla2[[#All],[RUTA]:[CONDUCTOR]],4,0),"")</f>
        <v>EDGAR</v>
      </c>
      <c r="J10" s="49" t="str">
        <f>IFERROR(VLOOKUP(Tabla1[[#This Row],[RUTA]],Tabla2[#All],5,0),"")</f>
        <v>KOKI</v>
      </c>
      <c r="K10" s="50" t="s">
        <v>16</v>
      </c>
      <c r="L10" s="52"/>
      <c r="M10" s="53"/>
      <c r="N10" s="54" t="str">
        <f>IF(Tabla1[[#This Row],[ESTADO]]="ENTREGADO",IF(Tabla1[[#This Row],[OBSERVACIÓN]]="OK","SI","NO"),"")</f>
        <v/>
      </c>
    </row>
    <row r="11" spans="1:14" x14ac:dyDescent="0.2">
      <c r="A11" s="48">
        <v>45162</v>
      </c>
      <c r="B11" s="49" t="s">
        <v>105</v>
      </c>
      <c r="C11" s="49">
        <v>289</v>
      </c>
      <c r="D11" s="49">
        <v>1</v>
      </c>
      <c r="E11" s="49" t="str">
        <f>VLOOKUP(Tabla1[[#This Row],[ID TIENDA]],Guias[],2,0)</f>
        <v>T994-00165056</v>
      </c>
      <c r="F11" s="51">
        <v>1611.44</v>
      </c>
      <c r="G11" s="49" t="str">
        <f>IFERROR(VLOOKUP(Tabla1[[#This Row],[RUTA]],Tabla2[#All],3,0),"")</f>
        <v>PALOMINO</v>
      </c>
      <c r="H11" s="49" t="str">
        <f>IFERROR(VLOOKUP(Tabla1[[#This Row],[RUTA]],Tabla2[[#All],[RUTA]:[PLACAS]],2,0),"")</f>
        <v>BD4-825</v>
      </c>
      <c r="I11" s="49" t="str">
        <f>IFERROR(VLOOKUP(Tabla1[[#This Row],[RUTA]],Tabla2[[#All],[RUTA]:[CONDUCTOR]],4,0),"")</f>
        <v>EDGAR</v>
      </c>
      <c r="J11" s="49" t="str">
        <f>IFERROR(VLOOKUP(Tabla1[[#This Row],[RUTA]],Tabla2[#All],5,0),"")</f>
        <v>KOKI</v>
      </c>
      <c r="K11" s="50" t="s">
        <v>16</v>
      </c>
      <c r="L11" s="52"/>
      <c r="M11" s="53"/>
      <c r="N11" s="54" t="str">
        <f>IF(Tabla1[[#This Row],[ESTADO]]="ENTREGADO",IF(Tabla1[[#This Row],[OBSERVACIÓN]]="OK","SI","NO"),"")</f>
        <v/>
      </c>
    </row>
    <row r="12" spans="1:14" x14ac:dyDescent="0.2">
      <c r="A12" s="48">
        <v>45162</v>
      </c>
      <c r="B12" s="49" t="s">
        <v>106</v>
      </c>
      <c r="C12" s="49">
        <v>508</v>
      </c>
      <c r="D12" s="49">
        <v>1</v>
      </c>
      <c r="E12" s="49" t="str">
        <f>VLOOKUP(Tabla1[[#This Row],[ID TIENDA]],Guias[],2,0)</f>
        <v>T994-00165101</v>
      </c>
      <c r="F12" s="51">
        <v>2274.58</v>
      </c>
      <c r="G12" s="49" t="str">
        <f>IFERROR(VLOOKUP(Tabla1[[#This Row],[RUTA]],Tabla2[#All],3,0),"")</f>
        <v>PALOMINO</v>
      </c>
      <c r="H12" s="49" t="str">
        <f>IFERROR(VLOOKUP(Tabla1[[#This Row],[RUTA]],Tabla2[[#All],[RUTA]:[PLACAS]],2,0),"")</f>
        <v>BD4-825</v>
      </c>
      <c r="I12" s="49" t="str">
        <f>IFERROR(VLOOKUP(Tabla1[[#This Row],[RUTA]],Tabla2[[#All],[RUTA]:[CONDUCTOR]],4,0),"")</f>
        <v>EDGAR</v>
      </c>
      <c r="J12" s="49" t="str">
        <f>IFERROR(VLOOKUP(Tabla1[[#This Row],[RUTA]],Tabla2[#All],5,0),"")</f>
        <v>KOKI</v>
      </c>
      <c r="K12" s="50" t="s">
        <v>16</v>
      </c>
      <c r="L12" s="52"/>
      <c r="M12" s="53"/>
      <c r="N12" s="54" t="str">
        <f>IF(Tabla1[[#This Row],[ESTADO]]="ENTREGADO",IF(Tabla1[[#This Row],[OBSERVACIÓN]]="OK","SI","NO"),"")</f>
        <v/>
      </c>
    </row>
    <row r="13" spans="1:14" x14ac:dyDescent="0.2">
      <c r="A13" s="48">
        <v>45162</v>
      </c>
      <c r="B13" s="49" t="s">
        <v>107</v>
      </c>
      <c r="C13" s="49">
        <v>221</v>
      </c>
      <c r="D13" s="49">
        <v>1</v>
      </c>
      <c r="E13" s="49" t="str">
        <f>VLOOKUP(Tabla1[[#This Row],[ID TIENDA]],Guias[],2,0)</f>
        <v>T994-00165032</v>
      </c>
      <c r="F13" s="51">
        <v>1628.14</v>
      </c>
      <c r="G13" s="49" t="str">
        <f>IFERROR(VLOOKUP(Tabla1[[#This Row],[RUTA]],Tabla2[#All],3,0),"")</f>
        <v>PALOMINO</v>
      </c>
      <c r="H13" s="49" t="str">
        <f>IFERROR(VLOOKUP(Tabla1[[#This Row],[RUTA]],Tabla2[[#All],[RUTA]:[PLACAS]],2,0),"")</f>
        <v>BD4-825</v>
      </c>
      <c r="I13" s="49" t="str">
        <f>IFERROR(VLOOKUP(Tabla1[[#This Row],[RUTA]],Tabla2[[#All],[RUTA]:[CONDUCTOR]],4,0),"")</f>
        <v>EDGAR</v>
      </c>
      <c r="J13" s="49" t="str">
        <f>IFERROR(VLOOKUP(Tabla1[[#This Row],[RUTA]],Tabla2[#All],5,0),"")</f>
        <v>KOKI</v>
      </c>
      <c r="K13" s="50" t="s">
        <v>16</v>
      </c>
      <c r="L13" s="52"/>
      <c r="M13" s="53"/>
      <c r="N13" s="54" t="str">
        <f>IF(Tabla1[[#This Row],[ESTADO]]="ENTREGADO",IF(Tabla1[[#This Row],[OBSERVACIÓN]]="OK","SI","NO"),"")</f>
        <v/>
      </c>
    </row>
    <row r="14" spans="1:14" x14ac:dyDescent="0.2">
      <c r="A14" s="48">
        <v>45162</v>
      </c>
      <c r="B14" s="49" t="s">
        <v>108</v>
      </c>
      <c r="C14" s="49">
        <v>391</v>
      </c>
      <c r="D14" s="49">
        <v>1</v>
      </c>
      <c r="E14" s="49" t="str">
        <f>VLOOKUP(Tabla1[[#This Row],[ID TIENDA]],Guias[],2,0)</f>
        <v>T994-00165073</v>
      </c>
      <c r="F14" s="51">
        <v>1322.37</v>
      </c>
      <c r="G14" s="49" t="str">
        <f>IFERROR(VLOOKUP(Tabla1[[#This Row],[RUTA]],Tabla2[#All],3,0),"")</f>
        <v>PALOMINO</v>
      </c>
      <c r="H14" s="49" t="str">
        <f>IFERROR(VLOOKUP(Tabla1[[#This Row],[RUTA]],Tabla2[[#All],[RUTA]:[PLACAS]],2,0),"")</f>
        <v>BD4-825</v>
      </c>
      <c r="I14" s="49" t="str">
        <f>IFERROR(VLOOKUP(Tabla1[[#This Row],[RUTA]],Tabla2[[#All],[RUTA]:[CONDUCTOR]],4,0),"")</f>
        <v>EDGAR</v>
      </c>
      <c r="J14" s="49" t="str">
        <f>IFERROR(VLOOKUP(Tabla1[[#This Row],[RUTA]],Tabla2[#All],5,0),"")</f>
        <v>KOKI</v>
      </c>
      <c r="K14" s="50" t="s">
        <v>16</v>
      </c>
      <c r="L14" s="52"/>
      <c r="M14" s="53"/>
      <c r="N14" s="54" t="str">
        <f>IF(Tabla1[[#This Row],[ESTADO]]="ENTREGADO",IF(Tabla1[[#This Row],[OBSERVACIÓN]]="OK","SI","NO"),"")</f>
        <v/>
      </c>
    </row>
    <row r="15" spans="1:14" x14ac:dyDescent="0.2">
      <c r="A15" s="48">
        <v>45162</v>
      </c>
      <c r="B15" s="49" t="s">
        <v>109</v>
      </c>
      <c r="C15" s="49">
        <v>26</v>
      </c>
      <c r="D15" s="49">
        <v>1</v>
      </c>
      <c r="E15" s="49" t="str">
        <f>VLOOKUP(Tabla1[[#This Row],[ID TIENDA]],Guias[],2,0)</f>
        <v>T994-00165059</v>
      </c>
      <c r="F15" s="51">
        <v>1893.14</v>
      </c>
      <c r="G15" s="49" t="str">
        <f>IFERROR(VLOOKUP(Tabla1[[#This Row],[RUTA]],Tabla2[#All],3,0),"")</f>
        <v>PALOMINO</v>
      </c>
      <c r="H15" s="49" t="str">
        <f>IFERROR(VLOOKUP(Tabla1[[#This Row],[RUTA]],Tabla2[[#All],[RUTA]:[PLACAS]],2,0),"")</f>
        <v>BD4-825</v>
      </c>
      <c r="I15" s="49" t="str">
        <f>IFERROR(VLOOKUP(Tabla1[[#This Row],[RUTA]],Tabla2[[#All],[RUTA]:[CONDUCTOR]],4,0),"")</f>
        <v>EDGAR</v>
      </c>
      <c r="J15" s="49" t="str">
        <f>IFERROR(VLOOKUP(Tabla1[[#This Row],[RUTA]],Tabla2[#All],5,0),"")</f>
        <v>KOKI</v>
      </c>
      <c r="K15" s="50" t="s">
        <v>16</v>
      </c>
      <c r="L15" s="52"/>
      <c r="M15" s="53"/>
      <c r="N15" s="54" t="str">
        <f>IF(Tabla1[[#This Row],[ESTADO]]="ENTREGADO",IF(Tabla1[[#This Row],[OBSERVACIÓN]]="OK","SI","NO"),"")</f>
        <v/>
      </c>
    </row>
    <row r="16" spans="1:14" x14ac:dyDescent="0.2">
      <c r="A16" s="48">
        <v>45162</v>
      </c>
      <c r="B16" s="49" t="s">
        <v>110</v>
      </c>
      <c r="C16" s="49">
        <v>174</v>
      </c>
      <c r="D16" s="49">
        <v>1</v>
      </c>
      <c r="E16" s="49" t="str">
        <f>VLOOKUP(Tabla1[[#This Row],[ID TIENDA]],Guias[],2,0)</f>
        <v>T994-00165057</v>
      </c>
      <c r="F16" s="51">
        <v>1912.63</v>
      </c>
      <c r="G16" s="49" t="str">
        <f>IFERROR(VLOOKUP(Tabla1[[#This Row],[RUTA]],Tabla2[#All],3,0),"")</f>
        <v>PALOMINO</v>
      </c>
      <c r="H16" s="49" t="str">
        <f>IFERROR(VLOOKUP(Tabla1[[#This Row],[RUTA]],Tabla2[[#All],[RUTA]:[PLACAS]],2,0),"")</f>
        <v>BD4-825</v>
      </c>
      <c r="I16" s="49" t="str">
        <f>IFERROR(VLOOKUP(Tabla1[[#This Row],[RUTA]],Tabla2[[#All],[RUTA]:[CONDUCTOR]],4,0),"")</f>
        <v>EDGAR</v>
      </c>
      <c r="J16" s="49" t="str">
        <f>IFERROR(VLOOKUP(Tabla1[[#This Row],[RUTA]],Tabla2[#All],5,0),"")</f>
        <v>KOKI</v>
      </c>
      <c r="K16" s="50" t="s">
        <v>16</v>
      </c>
      <c r="L16" s="52"/>
      <c r="M16" s="53"/>
      <c r="N16" s="54" t="str">
        <f>IF(Tabla1[[#This Row],[ESTADO]]="ENTREGADO",IF(Tabla1[[#This Row],[OBSERVACIÓN]]="OK","SI","NO"),"")</f>
        <v/>
      </c>
    </row>
    <row r="17" spans="1:14" x14ac:dyDescent="0.2">
      <c r="A17" s="48">
        <v>45162</v>
      </c>
      <c r="B17" s="49" t="s">
        <v>111</v>
      </c>
      <c r="C17" s="49">
        <v>450</v>
      </c>
      <c r="D17" s="49">
        <v>1</v>
      </c>
      <c r="E17" s="49" t="str">
        <f>VLOOKUP(Tabla1[[#This Row],[ID TIENDA]],Guias[],2,0)</f>
        <v>T994-00165070</v>
      </c>
      <c r="F17" s="51">
        <v>1891.95</v>
      </c>
      <c r="G17" s="49" t="str">
        <f>IFERROR(VLOOKUP(Tabla1[[#This Row],[RUTA]],Tabla2[#All],3,0),"")</f>
        <v>PALOMINO</v>
      </c>
      <c r="H17" s="49" t="str">
        <f>IFERROR(VLOOKUP(Tabla1[[#This Row],[RUTA]],Tabla2[[#All],[RUTA]:[PLACAS]],2,0),"")</f>
        <v>BD4-825</v>
      </c>
      <c r="I17" s="49" t="str">
        <f>IFERROR(VLOOKUP(Tabla1[[#This Row],[RUTA]],Tabla2[[#All],[RUTA]:[CONDUCTOR]],4,0),"")</f>
        <v>EDGAR</v>
      </c>
      <c r="J17" s="49" t="str">
        <f>IFERROR(VLOOKUP(Tabla1[[#This Row],[RUTA]],Tabla2[#All],5,0),"")</f>
        <v>KOKI</v>
      </c>
      <c r="K17" s="50" t="s">
        <v>16</v>
      </c>
      <c r="L17" s="52"/>
      <c r="M17" s="53"/>
      <c r="N17" s="54" t="str">
        <f>IF(Tabla1[[#This Row],[ESTADO]]="ENTREGADO",IF(Tabla1[[#This Row],[OBSERVACIÓN]]="OK","SI","NO"),"")</f>
        <v/>
      </c>
    </row>
    <row r="18" spans="1:14" x14ac:dyDescent="0.2">
      <c r="A18" s="48">
        <v>45162</v>
      </c>
      <c r="B18" s="49" t="s">
        <v>112</v>
      </c>
      <c r="C18" s="49">
        <v>259</v>
      </c>
      <c r="D18" s="49">
        <v>2</v>
      </c>
      <c r="E18" s="49" t="str">
        <f>VLOOKUP(Tabla1[[#This Row],[ID TIENDA]],Guias[],2,0)</f>
        <v>T994-00165053</v>
      </c>
      <c r="F18" s="51">
        <v>1993.73</v>
      </c>
      <c r="G18" s="49" t="str">
        <f>IFERROR(VLOOKUP(Tabla1[[#This Row],[RUTA]],Tabla2[#All],3,0),"")</f>
        <v>PALOMINO</v>
      </c>
      <c r="H18" s="49" t="str">
        <f>IFERROR(VLOOKUP(Tabla1[[#This Row],[RUTA]],Tabla2[[#All],[RUTA]:[PLACAS]],2,0),"")</f>
        <v>BUU-825</v>
      </c>
      <c r="I18" s="49" t="str">
        <f>IFERROR(VLOOKUP(Tabla1[[#This Row],[RUTA]],Tabla2[[#All],[RUTA]:[CONDUCTOR]],4,0),"")</f>
        <v>MIGUEL ANGEL</v>
      </c>
      <c r="J18" s="49" t="str">
        <f>IFERROR(VLOOKUP(Tabla1[[#This Row],[RUTA]],Tabla2[#All],5,0),"")</f>
        <v>MIGUEL</v>
      </c>
      <c r="K18" s="50" t="s">
        <v>16</v>
      </c>
      <c r="L18" s="52"/>
      <c r="M18" s="53"/>
      <c r="N18" s="54" t="str">
        <f>IF(Tabla1[[#This Row],[ESTADO]]="ENTREGADO",IF(Tabla1[[#This Row],[OBSERVACIÓN]]="OK","SI","NO"),"")</f>
        <v/>
      </c>
    </row>
    <row r="19" spans="1:14" x14ac:dyDescent="0.2">
      <c r="A19" s="48">
        <v>45162</v>
      </c>
      <c r="B19" s="49" t="s">
        <v>113</v>
      </c>
      <c r="C19" s="49">
        <v>512</v>
      </c>
      <c r="D19" s="49">
        <v>2</v>
      </c>
      <c r="E19" s="49" t="str">
        <f>VLOOKUP(Tabla1[[#This Row],[ID TIENDA]],Guias[],2,0)</f>
        <v>T994-00165081</v>
      </c>
      <c r="F19" s="51">
        <v>2176.6999999999998</v>
      </c>
      <c r="G19" s="49" t="str">
        <f>IFERROR(VLOOKUP(Tabla1[[#This Row],[RUTA]],Tabla2[#All],3,0),"")</f>
        <v>PALOMINO</v>
      </c>
      <c r="H19" s="49" t="str">
        <f>IFERROR(VLOOKUP(Tabla1[[#This Row],[RUTA]],Tabla2[[#All],[RUTA]:[PLACAS]],2,0),"")</f>
        <v>BUU-825</v>
      </c>
      <c r="I19" s="49" t="str">
        <f>IFERROR(VLOOKUP(Tabla1[[#This Row],[RUTA]],Tabla2[[#All],[RUTA]:[CONDUCTOR]],4,0),"")</f>
        <v>MIGUEL ANGEL</v>
      </c>
      <c r="J19" s="49" t="str">
        <f>IFERROR(VLOOKUP(Tabla1[[#This Row],[RUTA]],Tabla2[#All],5,0),"")</f>
        <v>MIGUEL</v>
      </c>
      <c r="K19" s="50" t="s">
        <v>16</v>
      </c>
      <c r="L19" s="52"/>
      <c r="M19" s="53"/>
      <c r="N19" s="54" t="str">
        <f>IF(Tabla1[[#This Row],[ESTADO]]="ENTREGADO",IF(Tabla1[[#This Row],[OBSERVACIÓN]]="OK","SI","NO"),"")</f>
        <v/>
      </c>
    </row>
    <row r="20" spans="1:14" x14ac:dyDescent="0.2">
      <c r="A20" s="48">
        <v>45162</v>
      </c>
      <c r="B20" s="49" t="s">
        <v>114</v>
      </c>
      <c r="C20" s="49">
        <v>189</v>
      </c>
      <c r="D20" s="49">
        <v>2</v>
      </c>
      <c r="E20" s="49" t="str">
        <f>VLOOKUP(Tabla1[[#This Row],[ID TIENDA]],Guias[],2,0)</f>
        <v>T994-00165141</v>
      </c>
      <c r="F20" s="51">
        <v>1847.03</v>
      </c>
      <c r="G20" s="49" t="str">
        <f>IFERROR(VLOOKUP(Tabla1[[#This Row],[RUTA]],Tabla2[#All],3,0),"")</f>
        <v>PALOMINO</v>
      </c>
      <c r="H20" s="49" t="str">
        <f>IFERROR(VLOOKUP(Tabla1[[#This Row],[RUTA]],Tabla2[[#All],[RUTA]:[PLACAS]],2,0),"")</f>
        <v>BUU-825</v>
      </c>
      <c r="I20" s="49" t="str">
        <f>IFERROR(VLOOKUP(Tabla1[[#This Row],[RUTA]],Tabla2[[#All],[RUTA]:[CONDUCTOR]],4,0),"")</f>
        <v>MIGUEL ANGEL</v>
      </c>
      <c r="J20" s="49" t="str">
        <f>IFERROR(VLOOKUP(Tabla1[[#This Row],[RUTA]],Tabla2[#All],5,0),"")</f>
        <v>MIGUEL</v>
      </c>
      <c r="K20" s="50" t="s">
        <v>16</v>
      </c>
      <c r="L20" s="52"/>
      <c r="M20" s="53"/>
      <c r="N20" s="54" t="str">
        <f>IF(Tabla1[[#This Row],[ESTADO]]="ENTREGADO",IF(Tabla1[[#This Row],[OBSERVACIÓN]]="OK","SI","NO"),"")</f>
        <v/>
      </c>
    </row>
    <row r="21" spans="1:14" x14ac:dyDescent="0.2">
      <c r="A21" s="48">
        <v>45162</v>
      </c>
      <c r="B21" s="49" t="s">
        <v>115</v>
      </c>
      <c r="C21" s="49">
        <v>413</v>
      </c>
      <c r="D21" s="49">
        <v>2</v>
      </c>
      <c r="E21" s="49" t="str">
        <f>VLOOKUP(Tabla1[[#This Row],[ID TIENDA]],Guias[],2,0)</f>
        <v>T994-00165072</v>
      </c>
      <c r="F21" s="51">
        <v>23238.22</v>
      </c>
      <c r="G21" s="49" t="str">
        <f>IFERROR(VLOOKUP(Tabla1[[#This Row],[RUTA]],Tabla2[#All],3,0),"")</f>
        <v>PALOMINO</v>
      </c>
      <c r="H21" s="49" t="str">
        <f>IFERROR(VLOOKUP(Tabla1[[#This Row],[RUTA]],Tabla2[[#All],[RUTA]:[PLACAS]],2,0),"")</f>
        <v>BUU-825</v>
      </c>
      <c r="I21" s="49" t="str">
        <f>IFERROR(VLOOKUP(Tabla1[[#This Row],[RUTA]],Tabla2[[#All],[RUTA]:[CONDUCTOR]],4,0),"")</f>
        <v>MIGUEL ANGEL</v>
      </c>
      <c r="J21" s="49" t="str">
        <f>IFERROR(VLOOKUP(Tabla1[[#This Row],[RUTA]],Tabla2[#All],5,0),"")</f>
        <v>MIGUEL</v>
      </c>
      <c r="K21" s="50" t="s">
        <v>16</v>
      </c>
      <c r="L21" s="52"/>
      <c r="M21" s="53"/>
      <c r="N21" s="54" t="str">
        <f>IF(Tabla1[[#This Row],[ESTADO]]="ENTREGADO",IF(Tabla1[[#This Row],[OBSERVACIÓN]]="OK","SI","NO"),"")</f>
        <v/>
      </c>
    </row>
    <row r="22" spans="1:14" x14ac:dyDescent="0.2">
      <c r="A22" s="48">
        <v>45162</v>
      </c>
      <c r="B22" s="49" t="s">
        <v>116</v>
      </c>
      <c r="C22" s="49">
        <v>233</v>
      </c>
      <c r="D22" s="49">
        <v>2</v>
      </c>
      <c r="E22" s="49" t="str">
        <f>VLOOKUP(Tabla1[[#This Row],[ID TIENDA]],Guias[],2,0)</f>
        <v>T994-00165147</v>
      </c>
      <c r="F22" s="51">
        <v>1886.19</v>
      </c>
      <c r="G22" s="49" t="str">
        <f>IFERROR(VLOOKUP(Tabla1[[#This Row],[RUTA]],Tabla2[#All],3,0),"")</f>
        <v>PALOMINO</v>
      </c>
      <c r="H22" s="49" t="str">
        <f>IFERROR(VLOOKUP(Tabla1[[#This Row],[RUTA]],Tabla2[[#All],[RUTA]:[PLACAS]],2,0),"")</f>
        <v>BUU-825</v>
      </c>
      <c r="I22" s="49" t="str">
        <f>IFERROR(VLOOKUP(Tabla1[[#This Row],[RUTA]],Tabla2[[#All],[RUTA]:[CONDUCTOR]],4,0),"")</f>
        <v>MIGUEL ANGEL</v>
      </c>
      <c r="J22" s="49" t="str">
        <f>IFERROR(VLOOKUP(Tabla1[[#This Row],[RUTA]],Tabla2[#All],5,0),"")</f>
        <v>MIGUEL</v>
      </c>
      <c r="K22" s="50" t="s">
        <v>16</v>
      </c>
      <c r="L22" s="52"/>
      <c r="M22" s="53"/>
      <c r="N22" s="54" t="str">
        <f>IF(Tabla1[[#This Row],[ESTADO]]="ENTREGADO",IF(Tabla1[[#This Row],[OBSERVACIÓN]]="OK","SI","NO"),"")</f>
        <v/>
      </c>
    </row>
    <row r="23" spans="1:14" x14ac:dyDescent="0.2">
      <c r="A23" s="48">
        <v>45162</v>
      </c>
      <c r="B23" s="49" t="s">
        <v>117</v>
      </c>
      <c r="C23" s="49">
        <v>124</v>
      </c>
      <c r="D23" s="49">
        <v>2</v>
      </c>
      <c r="E23" s="49" t="str">
        <f>VLOOKUP(Tabla1[[#This Row],[ID TIENDA]],Guias[],2,0)</f>
        <v>T994-00164993</v>
      </c>
      <c r="F23" s="51">
        <v>1245.8499999999999</v>
      </c>
      <c r="G23" s="49" t="str">
        <f>IFERROR(VLOOKUP(Tabla1[[#This Row],[RUTA]],Tabla2[#All],3,0),"")</f>
        <v>PALOMINO</v>
      </c>
      <c r="H23" s="49" t="str">
        <f>IFERROR(VLOOKUP(Tabla1[[#This Row],[RUTA]],Tabla2[[#All],[RUTA]:[PLACAS]],2,0),"")</f>
        <v>BUU-825</v>
      </c>
      <c r="I23" s="49" t="str">
        <f>IFERROR(VLOOKUP(Tabla1[[#This Row],[RUTA]],Tabla2[[#All],[RUTA]:[CONDUCTOR]],4,0),"")</f>
        <v>MIGUEL ANGEL</v>
      </c>
      <c r="J23" s="49" t="str">
        <f>IFERROR(VLOOKUP(Tabla1[[#This Row],[RUTA]],Tabla2[#All],5,0),"")</f>
        <v>MIGUEL</v>
      </c>
      <c r="K23" s="50" t="s">
        <v>16</v>
      </c>
      <c r="L23" s="52"/>
      <c r="M23" s="53"/>
      <c r="N23" s="54" t="str">
        <f>IF(Tabla1[[#This Row],[ESTADO]]="ENTREGADO",IF(Tabla1[[#This Row],[OBSERVACIÓN]]="OK","SI","NO"),"")</f>
        <v/>
      </c>
    </row>
    <row r="24" spans="1:14" x14ac:dyDescent="0.2">
      <c r="A24" s="48">
        <v>45162</v>
      </c>
      <c r="B24" s="49" t="s">
        <v>118</v>
      </c>
      <c r="C24" s="49">
        <v>150</v>
      </c>
      <c r="D24" s="49">
        <v>2</v>
      </c>
      <c r="E24" s="49" t="str">
        <f>VLOOKUP(Tabla1[[#This Row],[ID TIENDA]],Guias[],2,0)</f>
        <v>T994-00165009</v>
      </c>
      <c r="F24" s="51">
        <v>1317.37</v>
      </c>
      <c r="G24" s="49" t="str">
        <f>IFERROR(VLOOKUP(Tabla1[[#This Row],[RUTA]],Tabla2[#All],3,0),"")</f>
        <v>PALOMINO</v>
      </c>
      <c r="H24" s="49" t="str">
        <f>IFERROR(VLOOKUP(Tabla1[[#This Row],[RUTA]],Tabla2[[#All],[RUTA]:[PLACAS]],2,0),"")</f>
        <v>BUU-825</v>
      </c>
      <c r="I24" s="49" t="str">
        <f>IFERROR(VLOOKUP(Tabla1[[#This Row],[RUTA]],Tabla2[[#All],[RUTA]:[CONDUCTOR]],4,0),"")</f>
        <v>MIGUEL ANGEL</v>
      </c>
      <c r="J24" s="49" t="str">
        <f>IFERROR(VLOOKUP(Tabla1[[#This Row],[RUTA]],Tabla2[#All],5,0),"")</f>
        <v>MIGUEL</v>
      </c>
      <c r="K24" s="50" t="s">
        <v>16</v>
      </c>
      <c r="L24" s="52"/>
      <c r="M24" s="53"/>
      <c r="N24" s="54" t="str">
        <f>IF(Tabla1[[#This Row],[ESTADO]]="ENTREGADO",IF(Tabla1[[#This Row],[OBSERVACIÓN]]="OK","SI","NO"),"")</f>
        <v/>
      </c>
    </row>
    <row r="25" spans="1:14" x14ac:dyDescent="0.2">
      <c r="A25" s="48">
        <v>45162</v>
      </c>
      <c r="B25" s="49" t="s">
        <v>119</v>
      </c>
      <c r="C25" s="49">
        <v>230</v>
      </c>
      <c r="D25" s="49">
        <v>2</v>
      </c>
      <c r="E25" s="49" t="str">
        <f>VLOOKUP(Tabla1[[#This Row],[ID TIENDA]],Guias[],2,0)</f>
        <v>T994-00164972</v>
      </c>
      <c r="F25" s="51">
        <v>2965.08</v>
      </c>
      <c r="G25" s="49" t="str">
        <f>IFERROR(VLOOKUP(Tabla1[[#This Row],[RUTA]],Tabla2[#All],3,0),"")</f>
        <v>PALOMINO</v>
      </c>
      <c r="H25" s="49" t="str">
        <f>IFERROR(VLOOKUP(Tabla1[[#This Row],[RUTA]],Tabla2[[#All],[RUTA]:[PLACAS]],2,0),"")</f>
        <v>BUU-825</v>
      </c>
      <c r="I25" s="49" t="str">
        <f>IFERROR(VLOOKUP(Tabla1[[#This Row],[RUTA]],Tabla2[[#All],[RUTA]:[CONDUCTOR]],4,0),"")</f>
        <v>MIGUEL ANGEL</v>
      </c>
      <c r="J25" s="49" t="str">
        <f>IFERROR(VLOOKUP(Tabla1[[#This Row],[RUTA]],Tabla2[#All],5,0),"")</f>
        <v>MIGUEL</v>
      </c>
      <c r="K25" s="50" t="s">
        <v>16</v>
      </c>
      <c r="L25" s="52"/>
      <c r="M25" s="53"/>
      <c r="N25" s="54" t="str">
        <f>IF(Tabla1[[#This Row],[ESTADO]]="ENTREGADO",IF(Tabla1[[#This Row],[OBSERVACIÓN]]="OK","SI","NO"),"")</f>
        <v/>
      </c>
    </row>
    <row r="26" spans="1:14" x14ac:dyDescent="0.2">
      <c r="A26" s="48">
        <v>45162</v>
      </c>
      <c r="B26" s="49" t="s">
        <v>120</v>
      </c>
      <c r="C26" s="49">
        <v>490</v>
      </c>
      <c r="D26" s="49">
        <v>2</v>
      </c>
      <c r="E26" s="49" t="str">
        <f>VLOOKUP(Tabla1[[#This Row],[ID TIENDA]],Guias[],2,0)</f>
        <v>T994-00165063</v>
      </c>
      <c r="F26" s="51">
        <v>851.86</v>
      </c>
      <c r="G26" s="49" t="str">
        <f>IFERROR(VLOOKUP(Tabla1[[#This Row],[RUTA]],Tabla2[#All],3,0),"")</f>
        <v>PALOMINO</v>
      </c>
      <c r="H26" s="49" t="str">
        <f>IFERROR(VLOOKUP(Tabla1[[#This Row],[RUTA]],Tabla2[[#All],[RUTA]:[PLACAS]],2,0),"")</f>
        <v>BUU-825</v>
      </c>
      <c r="I26" s="49" t="str">
        <f>IFERROR(VLOOKUP(Tabla1[[#This Row],[RUTA]],Tabla2[[#All],[RUTA]:[CONDUCTOR]],4,0),"")</f>
        <v>MIGUEL ANGEL</v>
      </c>
      <c r="J26" s="49" t="str">
        <f>IFERROR(VLOOKUP(Tabla1[[#This Row],[RUTA]],Tabla2[#All],5,0),"")</f>
        <v>MIGUEL</v>
      </c>
      <c r="K26" s="50" t="s">
        <v>16</v>
      </c>
      <c r="L26" s="52"/>
      <c r="M26" s="53"/>
      <c r="N26" s="54" t="str">
        <f>IF(Tabla1[[#This Row],[ESTADO]]="ENTREGADO",IF(Tabla1[[#This Row],[OBSERVACIÓN]]="OK","SI","NO"),"")</f>
        <v/>
      </c>
    </row>
    <row r="27" spans="1:14" x14ac:dyDescent="0.2">
      <c r="A27" s="48">
        <v>45162</v>
      </c>
      <c r="B27" s="49" t="s">
        <v>121</v>
      </c>
      <c r="C27" s="49">
        <v>415</v>
      </c>
      <c r="D27" s="49">
        <v>2</v>
      </c>
      <c r="E27" s="49" t="str">
        <f>VLOOKUP(Tabla1[[#This Row],[ID TIENDA]],Guias[],2,0)</f>
        <v>T994-00164980</v>
      </c>
      <c r="F27" s="51">
        <v>1439.49</v>
      </c>
      <c r="G27" s="49" t="str">
        <f>IFERROR(VLOOKUP(Tabla1[[#This Row],[RUTA]],Tabla2[#All],3,0),"")</f>
        <v>PALOMINO</v>
      </c>
      <c r="H27" s="49" t="str">
        <f>IFERROR(VLOOKUP(Tabla1[[#This Row],[RUTA]],Tabla2[[#All],[RUTA]:[PLACAS]],2,0),"")</f>
        <v>BUU-825</v>
      </c>
      <c r="I27" s="49" t="str">
        <f>IFERROR(VLOOKUP(Tabla1[[#This Row],[RUTA]],Tabla2[[#All],[RUTA]:[CONDUCTOR]],4,0),"")</f>
        <v>MIGUEL ANGEL</v>
      </c>
      <c r="J27" s="49" t="str">
        <f>IFERROR(VLOOKUP(Tabla1[[#This Row],[RUTA]],Tabla2[#All],5,0),"")</f>
        <v>MIGUEL</v>
      </c>
      <c r="K27" s="50" t="s">
        <v>16</v>
      </c>
      <c r="L27" s="52"/>
      <c r="M27" s="53"/>
      <c r="N27" s="54" t="str">
        <f>IF(Tabla1[[#This Row],[ESTADO]]="ENTREGADO",IF(Tabla1[[#This Row],[OBSERVACIÓN]]="OK","SI","NO"),"")</f>
        <v/>
      </c>
    </row>
    <row r="28" spans="1:14" x14ac:dyDescent="0.2">
      <c r="A28" s="48">
        <v>45162</v>
      </c>
      <c r="B28" s="49" t="s">
        <v>122</v>
      </c>
      <c r="C28" s="49">
        <v>320</v>
      </c>
      <c r="D28" s="49">
        <v>2</v>
      </c>
      <c r="E28" s="49" t="str">
        <f>VLOOKUP(Tabla1[[#This Row],[ID TIENDA]],Guias[],2,0)</f>
        <v>T994-00165106</v>
      </c>
      <c r="F28" s="51">
        <v>2232.1999999999998</v>
      </c>
      <c r="G28" s="49" t="str">
        <f>IFERROR(VLOOKUP(Tabla1[[#This Row],[RUTA]],Tabla2[#All],3,0),"")</f>
        <v>PALOMINO</v>
      </c>
      <c r="H28" s="49" t="str">
        <f>IFERROR(VLOOKUP(Tabla1[[#This Row],[RUTA]],Tabla2[[#All],[RUTA]:[PLACAS]],2,0),"")</f>
        <v>BUU-825</v>
      </c>
      <c r="I28" s="49" t="str">
        <f>IFERROR(VLOOKUP(Tabla1[[#This Row],[RUTA]],Tabla2[[#All],[RUTA]:[CONDUCTOR]],4,0),"")</f>
        <v>MIGUEL ANGEL</v>
      </c>
      <c r="J28" s="49" t="str">
        <f>IFERROR(VLOOKUP(Tabla1[[#This Row],[RUTA]],Tabla2[#All],5,0),"")</f>
        <v>MIGUEL</v>
      </c>
      <c r="K28" s="50" t="s">
        <v>16</v>
      </c>
      <c r="L28" s="52"/>
      <c r="M28" s="53"/>
      <c r="N28" s="54" t="str">
        <f>IF(Tabla1[[#This Row],[ESTADO]]="ENTREGADO",IF(Tabla1[[#This Row],[OBSERVACIÓN]]="OK","SI","NO"),"")</f>
        <v/>
      </c>
    </row>
    <row r="29" spans="1:14" x14ac:dyDescent="0.2">
      <c r="A29" s="48">
        <v>45162</v>
      </c>
      <c r="B29" s="49" t="s">
        <v>123</v>
      </c>
      <c r="C29" s="49">
        <v>100</v>
      </c>
      <c r="D29" s="49">
        <v>2</v>
      </c>
      <c r="E29" s="49" t="str">
        <f>VLOOKUP(Tabla1[[#This Row],[ID TIENDA]],Guias[],2,0)</f>
        <v>T994-00165091</v>
      </c>
      <c r="F29" s="51">
        <v>2593.31</v>
      </c>
      <c r="G29" s="49" t="str">
        <f>IFERROR(VLOOKUP(Tabla1[[#This Row],[RUTA]],Tabla2[#All],3,0),"")</f>
        <v>PALOMINO</v>
      </c>
      <c r="H29" s="49" t="str">
        <f>IFERROR(VLOOKUP(Tabla1[[#This Row],[RUTA]],Tabla2[[#All],[RUTA]:[PLACAS]],2,0),"")</f>
        <v>BUU-825</v>
      </c>
      <c r="I29" s="49" t="str">
        <f>IFERROR(VLOOKUP(Tabla1[[#This Row],[RUTA]],Tabla2[[#All],[RUTA]:[CONDUCTOR]],4,0),"")</f>
        <v>MIGUEL ANGEL</v>
      </c>
      <c r="J29" s="49" t="str">
        <f>IFERROR(VLOOKUP(Tabla1[[#This Row],[RUTA]],Tabla2[#All],5,0),"")</f>
        <v>MIGUEL</v>
      </c>
      <c r="K29" s="50" t="s">
        <v>16</v>
      </c>
      <c r="L29" s="52"/>
      <c r="M29" s="53"/>
      <c r="N29" s="54" t="str">
        <f>IF(Tabla1[[#This Row],[ESTADO]]="ENTREGADO",IF(Tabla1[[#This Row],[OBSERVACIÓN]]="OK","SI","NO"),"")</f>
        <v/>
      </c>
    </row>
    <row r="30" spans="1:14" x14ac:dyDescent="0.2">
      <c r="A30" s="48">
        <v>45162</v>
      </c>
      <c r="B30" s="49" t="s">
        <v>124</v>
      </c>
      <c r="C30" s="49">
        <v>417</v>
      </c>
      <c r="D30" s="49">
        <v>3</v>
      </c>
      <c r="E30" s="49" t="str">
        <f>VLOOKUP(Tabla1[[#This Row],[ID TIENDA]],Guias[],2,0)</f>
        <v>T994-00165033</v>
      </c>
      <c r="F30" s="51">
        <v>3393.9</v>
      </c>
      <c r="G30" s="49" t="str">
        <f>IFERROR(VLOOKUP(Tabla1[[#This Row],[RUTA]],Tabla2[#All],3,0),"")</f>
        <v>PALOMINO</v>
      </c>
      <c r="H30" s="49" t="str">
        <f>IFERROR(VLOOKUP(Tabla1[[#This Row],[RUTA]],Tabla2[[#All],[RUTA]:[PLACAS]],2,0),"")</f>
        <v>C3Z-800</v>
      </c>
      <c r="I30" s="49" t="str">
        <f>IFERROR(VLOOKUP(Tabla1[[#This Row],[RUTA]],Tabla2[[#All],[RUTA]:[CONDUCTOR]],4,0),"")</f>
        <v>DANIEL</v>
      </c>
      <c r="J30" s="49" t="str">
        <f>IFERROR(VLOOKUP(Tabla1[[#This Row],[RUTA]],Tabla2[#All],5,0),"")</f>
        <v>JAMBO</v>
      </c>
      <c r="K30" s="50" t="s">
        <v>16</v>
      </c>
      <c r="L30" s="52"/>
      <c r="M30" s="53"/>
      <c r="N30" s="54" t="str">
        <f>IF(Tabla1[[#This Row],[ESTADO]]="ENTREGADO",IF(Tabla1[[#This Row],[OBSERVACIÓN]]="OK","SI","NO"),"")</f>
        <v/>
      </c>
    </row>
    <row r="31" spans="1:14" x14ac:dyDescent="0.2">
      <c r="A31" s="48">
        <v>45162</v>
      </c>
      <c r="B31" s="49" t="s">
        <v>48</v>
      </c>
      <c r="C31" s="49">
        <v>105</v>
      </c>
      <c r="D31" s="49">
        <v>3</v>
      </c>
      <c r="E31" s="49" t="str">
        <f>VLOOKUP(Tabla1[[#This Row],[ID TIENDA]],Guias[],2,0)</f>
        <v>T994-00165030</v>
      </c>
      <c r="F31" s="51">
        <v>3246.02</v>
      </c>
      <c r="G31" s="49" t="str">
        <f>IFERROR(VLOOKUP(Tabla1[[#This Row],[RUTA]],Tabla2[#All],3,0),"")</f>
        <v>PALOMINO</v>
      </c>
      <c r="H31" s="49" t="str">
        <f>IFERROR(VLOOKUP(Tabla1[[#This Row],[RUTA]],Tabla2[[#All],[RUTA]:[PLACAS]],2,0),"")</f>
        <v>C3Z-800</v>
      </c>
      <c r="I31" s="49" t="str">
        <f>IFERROR(VLOOKUP(Tabla1[[#This Row],[RUTA]],Tabla2[[#All],[RUTA]:[CONDUCTOR]],4,0),"")</f>
        <v>DANIEL</v>
      </c>
      <c r="J31" s="49" t="str">
        <f>IFERROR(VLOOKUP(Tabla1[[#This Row],[RUTA]],Tabla2[#All],5,0),"")</f>
        <v>JAMBO</v>
      </c>
      <c r="K31" s="50" t="s">
        <v>16</v>
      </c>
      <c r="L31" s="52"/>
      <c r="M31" s="53"/>
      <c r="N31" s="54" t="str">
        <f>IF(Tabla1[[#This Row],[ESTADO]]="ENTREGADO",IF(Tabla1[[#This Row],[OBSERVACIÓN]]="OK","SI","NO"),"")</f>
        <v/>
      </c>
    </row>
    <row r="32" spans="1:14" x14ac:dyDescent="0.2">
      <c r="A32" s="48">
        <v>45162</v>
      </c>
      <c r="B32" s="49" t="s">
        <v>125</v>
      </c>
      <c r="C32" s="49">
        <v>75</v>
      </c>
      <c r="D32" s="49">
        <v>3</v>
      </c>
      <c r="E32" s="49" t="str">
        <f>VLOOKUP(Tabla1[[#This Row],[ID TIENDA]],Guias[],2,0)</f>
        <v>T994-00165043</v>
      </c>
      <c r="F32" s="51">
        <v>2021.44</v>
      </c>
      <c r="G32" s="49" t="str">
        <f>IFERROR(VLOOKUP(Tabla1[[#This Row],[RUTA]],Tabla2[#All],3,0),"")</f>
        <v>PALOMINO</v>
      </c>
      <c r="H32" s="49" t="str">
        <f>IFERROR(VLOOKUP(Tabla1[[#This Row],[RUTA]],Tabla2[[#All],[RUTA]:[PLACAS]],2,0),"")</f>
        <v>C3Z-800</v>
      </c>
      <c r="I32" s="49" t="str">
        <f>IFERROR(VLOOKUP(Tabla1[[#This Row],[RUTA]],Tabla2[[#All],[RUTA]:[CONDUCTOR]],4,0),"")</f>
        <v>DANIEL</v>
      </c>
      <c r="J32" s="49" t="str">
        <f>IFERROR(VLOOKUP(Tabla1[[#This Row],[RUTA]],Tabla2[#All],5,0),"")</f>
        <v>JAMBO</v>
      </c>
      <c r="K32" s="50" t="s">
        <v>16</v>
      </c>
      <c r="L32" s="52"/>
      <c r="M32" s="53"/>
      <c r="N32" s="54" t="str">
        <f>IF(Tabla1[[#This Row],[ESTADO]]="ENTREGADO",IF(Tabla1[[#This Row],[OBSERVACIÓN]]="OK","SI","NO"),"")</f>
        <v/>
      </c>
    </row>
    <row r="33" spans="1:14" x14ac:dyDescent="0.2">
      <c r="A33" s="48">
        <v>45162</v>
      </c>
      <c r="B33" s="49" t="s">
        <v>126</v>
      </c>
      <c r="C33" s="49">
        <v>123</v>
      </c>
      <c r="D33" s="49">
        <v>3</v>
      </c>
      <c r="E33" s="49" t="str">
        <f>VLOOKUP(Tabla1[[#This Row],[ID TIENDA]],Guias[],2,0)</f>
        <v>T994-00165069</v>
      </c>
      <c r="F33" s="51">
        <v>2140.7600000000002</v>
      </c>
      <c r="G33" s="49" t="str">
        <f>IFERROR(VLOOKUP(Tabla1[[#This Row],[RUTA]],Tabla2[#All],3,0),"")</f>
        <v>PALOMINO</v>
      </c>
      <c r="H33" s="49" t="str">
        <f>IFERROR(VLOOKUP(Tabla1[[#This Row],[RUTA]],Tabla2[[#All],[RUTA]:[PLACAS]],2,0),"")</f>
        <v>C3Z-800</v>
      </c>
      <c r="I33" s="49" t="str">
        <f>IFERROR(VLOOKUP(Tabla1[[#This Row],[RUTA]],Tabla2[[#All],[RUTA]:[CONDUCTOR]],4,0),"")</f>
        <v>DANIEL</v>
      </c>
      <c r="J33" s="49" t="str">
        <f>IFERROR(VLOOKUP(Tabla1[[#This Row],[RUTA]],Tabla2[#All],5,0),"")</f>
        <v>JAMBO</v>
      </c>
      <c r="K33" s="50" t="s">
        <v>16</v>
      </c>
      <c r="L33" s="52"/>
      <c r="M33" s="53"/>
      <c r="N33" s="54" t="str">
        <f>IF(Tabla1[[#This Row],[ESTADO]]="ENTREGADO",IF(Tabla1[[#This Row],[OBSERVACIÓN]]="OK","SI","NO"),"")</f>
        <v/>
      </c>
    </row>
    <row r="34" spans="1:14" x14ac:dyDescent="0.2">
      <c r="A34" s="48">
        <v>45162</v>
      </c>
      <c r="B34" s="49" t="s">
        <v>127</v>
      </c>
      <c r="C34" s="49">
        <v>133</v>
      </c>
      <c r="D34" s="49">
        <v>3</v>
      </c>
      <c r="E34" s="49" t="str">
        <f>VLOOKUP(Tabla1[[#This Row],[ID TIENDA]],Guias[],2,0)</f>
        <v>T994-00165007</v>
      </c>
      <c r="F34" s="51">
        <v>1626.19</v>
      </c>
      <c r="G34" s="49" t="str">
        <f>IFERROR(VLOOKUP(Tabla1[[#This Row],[RUTA]],Tabla2[#All],3,0),"")</f>
        <v>PALOMINO</v>
      </c>
      <c r="H34" s="49" t="str">
        <f>IFERROR(VLOOKUP(Tabla1[[#This Row],[RUTA]],Tabla2[[#All],[RUTA]:[PLACAS]],2,0),"")</f>
        <v>C3Z-800</v>
      </c>
      <c r="I34" s="49" t="str">
        <f>IFERROR(VLOOKUP(Tabla1[[#This Row],[RUTA]],Tabla2[[#All],[RUTA]:[CONDUCTOR]],4,0),"")</f>
        <v>DANIEL</v>
      </c>
      <c r="J34" s="49" t="str">
        <f>IFERROR(VLOOKUP(Tabla1[[#This Row],[RUTA]],Tabla2[#All],5,0),"")</f>
        <v>JAMBO</v>
      </c>
      <c r="K34" s="50" t="s">
        <v>16</v>
      </c>
      <c r="L34" s="52"/>
      <c r="M34" s="53"/>
      <c r="N34" s="54" t="str">
        <f>IF(Tabla1[[#This Row],[ESTADO]]="ENTREGADO",IF(Tabla1[[#This Row],[OBSERVACIÓN]]="OK","SI","NO"),"")</f>
        <v/>
      </c>
    </row>
    <row r="35" spans="1:14" x14ac:dyDescent="0.2">
      <c r="A35" s="48">
        <v>45162</v>
      </c>
      <c r="B35" s="49" t="s">
        <v>128</v>
      </c>
      <c r="C35" s="49">
        <v>192</v>
      </c>
      <c r="D35" s="49">
        <v>3</v>
      </c>
      <c r="E35" s="49" t="str">
        <f>VLOOKUP(Tabla1[[#This Row],[ID TIENDA]],Guias[],2,0)</f>
        <v>T994-00165089</v>
      </c>
      <c r="F35" s="51">
        <v>2264.58</v>
      </c>
      <c r="G35" s="49" t="str">
        <f>IFERROR(VLOOKUP(Tabla1[[#This Row],[RUTA]],Tabla2[#All],3,0),"")</f>
        <v>PALOMINO</v>
      </c>
      <c r="H35" s="49" t="str">
        <f>IFERROR(VLOOKUP(Tabla1[[#This Row],[RUTA]],Tabla2[[#All],[RUTA]:[PLACAS]],2,0),"")</f>
        <v>C3Z-800</v>
      </c>
      <c r="I35" s="49" t="str">
        <f>IFERROR(VLOOKUP(Tabla1[[#This Row],[RUTA]],Tabla2[[#All],[RUTA]:[CONDUCTOR]],4,0),"")</f>
        <v>DANIEL</v>
      </c>
      <c r="J35" s="49" t="str">
        <f>IFERROR(VLOOKUP(Tabla1[[#This Row],[RUTA]],Tabla2[#All],5,0),"")</f>
        <v>JAMBO</v>
      </c>
      <c r="K35" s="50" t="s">
        <v>16</v>
      </c>
      <c r="L35" s="52"/>
      <c r="M35" s="53"/>
      <c r="N35" s="54" t="str">
        <f>IF(Tabla1[[#This Row],[ESTADO]]="ENTREGADO",IF(Tabla1[[#This Row],[OBSERVACIÓN]]="OK","SI","NO"),"")</f>
        <v/>
      </c>
    </row>
    <row r="36" spans="1:14" x14ac:dyDescent="0.2">
      <c r="A36" s="48">
        <v>45162</v>
      </c>
      <c r="B36" s="49" t="s">
        <v>129</v>
      </c>
      <c r="C36" s="49">
        <v>74</v>
      </c>
      <c r="D36" s="49">
        <v>3</v>
      </c>
      <c r="E36" s="49" t="str">
        <f>VLOOKUP(Tabla1[[#This Row],[ID TIENDA]],Guias[],2,0)</f>
        <v>T994-00165017</v>
      </c>
      <c r="F36" s="51">
        <v>1331.27</v>
      </c>
      <c r="G36" s="49" t="str">
        <f>IFERROR(VLOOKUP(Tabla1[[#This Row],[RUTA]],Tabla2[#All],3,0),"")</f>
        <v>PALOMINO</v>
      </c>
      <c r="H36" s="49" t="str">
        <f>IFERROR(VLOOKUP(Tabla1[[#This Row],[RUTA]],Tabla2[[#All],[RUTA]:[PLACAS]],2,0),"")</f>
        <v>C3Z-800</v>
      </c>
      <c r="I36" s="49" t="str">
        <f>IFERROR(VLOOKUP(Tabla1[[#This Row],[RUTA]],Tabla2[[#All],[RUTA]:[CONDUCTOR]],4,0),"")</f>
        <v>DANIEL</v>
      </c>
      <c r="J36" s="49" t="str">
        <f>IFERROR(VLOOKUP(Tabla1[[#This Row],[RUTA]],Tabla2[#All],5,0),"")</f>
        <v>JAMBO</v>
      </c>
      <c r="K36" s="50" t="s">
        <v>16</v>
      </c>
      <c r="L36" s="52"/>
      <c r="M36" s="53"/>
      <c r="N36" s="54" t="str">
        <f>IF(Tabla1[[#This Row],[ESTADO]]="ENTREGADO",IF(Tabla1[[#This Row],[OBSERVACIÓN]]="OK","SI","NO"),"")</f>
        <v/>
      </c>
    </row>
    <row r="37" spans="1:14" x14ac:dyDescent="0.2">
      <c r="A37" s="48">
        <v>45162</v>
      </c>
      <c r="B37" s="49" t="s">
        <v>130</v>
      </c>
      <c r="C37" s="49">
        <v>184</v>
      </c>
      <c r="D37" s="49">
        <v>3</v>
      </c>
      <c r="E37" s="49" t="str">
        <f>VLOOKUP(Tabla1[[#This Row],[ID TIENDA]],Guias[],2,0)</f>
        <v>T994-00165117</v>
      </c>
      <c r="F37" s="51">
        <v>2928.98</v>
      </c>
      <c r="G37" s="49" t="str">
        <f>IFERROR(VLOOKUP(Tabla1[[#This Row],[RUTA]],Tabla2[#All],3,0),"")</f>
        <v>PALOMINO</v>
      </c>
      <c r="H37" s="49" t="str">
        <f>IFERROR(VLOOKUP(Tabla1[[#This Row],[RUTA]],Tabla2[[#All],[RUTA]:[PLACAS]],2,0),"")</f>
        <v>C3Z-800</v>
      </c>
      <c r="I37" s="49" t="str">
        <f>IFERROR(VLOOKUP(Tabla1[[#This Row],[RUTA]],Tabla2[[#All],[RUTA]:[CONDUCTOR]],4,0),"")</f>
        <v>DANIEL</v>
      </c>
      <c r="J37" s="49" t="str">
        <f>IFERROR(VLOOKUP(Tabla1[[#This Row],[RUTA]],Tabla2[#All],5,0),"")</f>
        <v>JAMBO</v>
      </c>
      <c r="K37" s="50" t="s">
        <v>16</v>
      </c>
      <c r="L37" s="52"/>
      <c r="M37" s="53"/>
      <c r="N37" s="54" t="str">
        <f>IF(Tabla1[[#This Row],[ESTADO]]="ENTREGADO",IF(Tabla1[[#This Row],[OBSERVACIÓN]]="OK","SI","NO"),"")</f>
        <v/>
      </c>
    </row>
    <row r="38" spans="1:14" x14ac:dyDescent="0.2">
      <c r="A38" s="48">
        <v>45162</v>
      </c>
      <c r="B38" s="49" t="s">
        <v>49</v>
      </c>
      <c r="C38" s="49">
        <v>457</v>
      </c>
      <c r="D38" s="49">
        <v>3</v>
      </c>
      <c r="E38" s="49" t="str">
        <f>VLOOKUP(Tabla1[[#This Row],[ID TIENDA]],Guias[],2,0)</f>
        <v>T994-00165151</v>
      </c>
      <c r="F38" s="51">
        <v>3666.19</v>
      </c>
      <c r="G38" s="49" t="str">
        <f>IFERROR(VLOOKUP(Tabla1[[#This Row],[RUTA]],Tabla2[#All],3,0),"")</f>
        <v>PALOMINO</v>
      </c>
      <c r="H38" s="49" t="str">
        <f>IFERROR(VLOOKUP(Tabla1[[#This Row],[RUTA]],Tabla2[[#All],[RUTA]:[PLACAS]],2,0),"")</f>
        <v>C3Z-800</v>
      </c>
      <c r="I38" s="49" t="str">
        <f>IFERROR(VLOOKUP(Tabla1[[#This Row],[RUTA]],Tabla2[[#All],[RUTA]:[CONDUCTOR]],4,0),"")</f>
        <v>DANIEL</v>
      </c>
      <c r="J38" s="49" t="str">
        <f>IFERROR(VLOOKUP(Tabla1[[#This Row],[RUTA]],Tabla2[#All],5,0),"")</f>
        <v>JAMBO</v>
      </c>
      <c r="K38" s="50" t="s">
        <v>16</v>
      </c>
      <c r="L38" s="52"/>
      <c r="M38" s="53"/>
      <c r="N38" s="54" t="str">
        <f>IF(Tabla1[[#This Row],[ESTADO]]="ENTREGADO",IF(Tabla1[[#This Row],[OBSERVACIÓN]]="OK","SI","NO"),"")</f>
        <v/>
      </c>
    </row>
    <row r="39" spans="1:14" x14ac:dyDescent="0.2">
      <c r="A39" s="48">
        <v>45162</v>
      </c>
      <c r="B39" s="49" t="s">
        <v>131</v>
      </c>
      <c r="C39" s="49">
        <v>201</v>
      </c>
      <c r="D39" s="49">
        <v>3</v>
      </c>
      <c r="E39" s="49" t="str">
        <f>VLOOKUP(Tabla1[[#This Row],[ID TIENDA]],Guias[],2,0)</f>
        <v>T994-00165038</v>
      </c>
      <c r="F39" s="51">
        <v>24103.98</v>
      </c>
      <c r="G39" s="49" t="str">
        <f>IFERROR(VLOOKUP(Tabla1[[#This Row],[RUTA]],Tabla2[#All],3,0),"")</f>
        <v>PALOMINO</v>
      </c>
      <c r="H39" s="49" t="str">
        <f>IFERROR(VLOOKUP(Tabla1[[#This Row],[RUTA]],Tabla2[[#All],[RUTA]:[PLACAS]],2,0),"")</f>
        <v>C3Z-800</v>
      </c>
      <c r="I39" s="49" t="str">
        <f>IFERROR(VLOOKUP(Tabla1[[#This Row],[RUTA]],Tabla2[[#All],[RUTA]:[CONDUCTOR]],4,0),"")</f>
        <v>DANIEL</v>
      </c>
      <c r="J39" s="49" t="str">
        <f>IFERROR(VLOOKUP(Tabla1[[#This Row],[RUTA]],Tabla2[#All],5,0),"")</f>
        <v>JAMBO</v>
      </c>
      <c r="K39" s="50" t="s">
        <v>16</v>
      </c>
      <c r="L39" s="52"/>
      <c r="M39" s="53"/>
      <c r="N39" s="54" t="str">
        <f>IF(Tabla1[[#This Row],[ESTADO]]="ENTREGADO",IF(Tabla1[[#This Row],[OBSERVACIÓN]]="OK","SI","NO"),"")</f>
        <v/>
      </c>
    </row>
    <row r="40" spans="1:14" x14ac:dyDescent="0.2">
      <c r="A40" s="48">
        <v>45162</v>
      </c>
      <c r="B40" s="49" t="s">
        <v>132</v>
      </c>
      <c r="C40" s="49">
        <v>115</v>
      </c>
      <c r="D40" s="49">
        <v>3</v>
      </c>
      <c r="E40" s="49" t="str">
        <f>VLOOKUP(Tabla1[[#This Row],[ID TIENDA]],Guias[],2,0)</f>
        <v>T994-00165104</v>
      </c>
      <c r="F40" s="51">
        <v>3640.42</v>
      </c>
      <c r="G40" s="49" t="str">
        <f>IFERROR(VLOOKUP(Tabla1[[#This Row],[RUTA]],Tabla2[#All],3,0),"")</f>
        <v>PALOMINO</v>
      </c>
      <c r="H40" s="49" t="str">
        <f>IFERROR(VLOOKUP(Tabla1[[#This Row],[RUTA]],Tabla2[[#All],[RUTA]:[PLACAS]],2,0),"")</f>
        <v>C3Z-800</v>
      </c>
      <c r="I40" s="49" t="str">
        <f>IFERROR(VLOOKUP(Tabla1[[#This Row],[RUTA]],Tabla2[[#All],[RUTA]:[CONDUCTOR]],4,0),"")</f>
        <v>DANIEL</v>
      </c>
      <c r="J40" s="49" t="str">
        <f>IFERROR(VLOOKUP(Tabla1[[#This Row],[RUTA]],Tabla2[#All],5,0),"")</f>
        <v>JAMBO</v>
      </c>
      <c r="K40" s="50" t="s">
        <v>16</v>
      </c>
      <c r="L40" s="52"/>
      <c r="M40" s="53"/>
      <c r="N40" s="54" t="str">
        <f>IF(Tabla1[[#This Row],[ESTADO]]="ENTREGADO",IF(Tabla1[[#This Row],[OBSERVACIÓN]]="OK","SI","NO"),"")</f>
        <v/>
      </c>
    </row>
    <row r="41" spans="1:14" x14ac:dyDescent="0.2">
      <c r="A41" s="48">
        <v>45162</v>
      </c>
      <c r="B41" s="49" t="s">
        <v>133</v>
      </c>
      <c r="C41" s="49">
        <v>480</v>
      </c>
      <c r="D41" s="49">
        <v>3</v>
      </c>
      <c r="E41" s="49" t="str">
        <f>VLOOKUP(Tabla1[[#This Row],[ID TIENDA]],Guias[],2,0)</f>
        <v>T994-00165159</v>
      </c>
      <c r="F41" s="51">
        <v>1825.93</v>
      </c>
      <c r="G41" s="49" t="str">
        <f>IFERROR(VLOOKUP(Tabla1[[#This Row],[RUTA]],Tabla2[#All],3,0),"")</f>
        <v>PALOMINO</v>
      </c>
      <c r="H41" s="49" t="str">
        <f>IFERROR(VLOOKUP(Tabla1[[#This Row],[RUTA]],Tabla2[[#All],[RUTA]:[PLACAS]],2,0),"")</f>
        <v>C3Z-800</v>
      </c>
      <c r="I41" s="49" t="str">
        <f>IFERROR(VLOOKUP(Tabla1[[#This Row],[RUTA]],Tabla2[[#All],[RUTA]:[CONDUCTOR]],4,0),"")</f>
        <v>DANIEL</v>
      </c>
      <c r="J41" s="49" t="str">
        <f>IFERROR(VLOOKUP(Tabla1[[#This Row],[RUTA]],Tabla2[#All],5,0),"")</f>
        <v>JAMBO</v>
      </c>
      <c r="K41" s="50" t="s">
        <v>16</v>
      </c>
      <c r="L41" s="52"/>
      <c r="M41" s="53"/>
      <c r="N41" s="54" t="str">
        <f>IF(Tabla1[[#This Row],[ESTADO]]="ENTREGADO",IF(Tabla1[[#This Row],[OBSERVACIÓN]]="OK","SI","NO"),"")</f>
        <v/>
      </c>
    </row>
    <row r="42" spans="1:14" x14ac:dyDescent="0.2">
      <c r="A42" s="48">
        <v>45162</v>
      </c>
      <c r="B42" s="49" t="s">
        <v>134</v>
      </c>
      <c r="C42" s="49">
        <v>173</v>
      </c>
      <c r="D42" s="49">
        <v>3</v>
      </c>
      <c r="E42" s="49" t="str">
        <f>VLOOKUP(Tabla1[[#This Row],[ID TIENDA]],Guias[],2,0)</f>
        <v>T994-00165163</v>
      </c>
      <c r="F42" s="51">
        <v>1639.92</v>
      </c>
      <c r="G42" s="49" t="str">
        <f>IFERROR(VLOOKUP(Tabla1[[#This Row],[RUTA]],Tabla2[#All],3,0),"")</f>
        <v>PALOMINO</v>
      </c>
      <c r="H42" s="49" t="str">
        <f>IFERROR(VLOOKUP(Tabla1[[#This Row],[RUTA]],Tabla2[[#All],[RUTA]:[PLACAS]],2,0),"")</f>
        <v>C3Z-800</v>
      </c>
      <c r="I42" s="49" t="str">
        <f>IFERROR(VLOOKUP(Tabla1[[#This Row],[RUTA]],Tabla2[[#All],[RUTA]:[CONDUCTOR]],4,0),"")</f>
        <v>DANIEL</v>
      </c>
      <c r="J42" s="49" t="str">
        <f>IFERROR(VLOOKUP(Tabla1[[#This Row],[RUTA]],Tabla2[#All],5,0),"")</f>
        <v>JAMBO</v>
      </c>
      <c r="K42" s="50" t="s">
        <v>16</v>
      </c>
      <c r="L42" s="52"/>
      <c r="M42" s="53"/>
      <c r="N42" s="54" t="str">
        <f>IF(Tabla1[[#This Row],[ESTADO]]="ENTREGADO",IF(Tabla1[[#This Row],[OBSERVACIÓN]]="OK","SI","NO"),"")</f>
        <v/>
      </c>
    </row>
    <row r="43" spans="1:14" x14ac:dyDescent="0.2">
      <c r="A43" s="48">
        <v>45162</v>
      </c>
      <c r="B43" s="49" t="s">
        <v>135</v>
      </c>
      <c r="C43" s="49">
        <v>90</v>
      </c>
      <c r="D43" s="49">
        <v>3</v>
      </c>
      <c r="E43" s="49" t="str">
        <f>VLOOKUP(Tabla1[[#This Row],[ID TIENDA]],Guias[],2,0)</f>
        <v>T994-00165145</v>
      </c>
      <c r="F43" s="51">
        <v>1978.22</v>
      </c>
      <c r="G43" s="49" t="str">
        <f>IFERROR(VLOOKUP(Tabla1[[#This Row],[RUTA]],Tabla2[#All],3,0),"")</f>
        <v>PALOMINO</v>
      </c>
      <c r="H43" s="49" t="str">
        <f>IFERROR(VLOOKUP(Tabla1[[#This Row],[RUTA]],Tabla2[[#All],[RUTA]:[PLACAS]],2,0),"")</f>
        <v>C3Z-800</v>
      </c>
      <c r="I43" s="49" t="str">
        <f>IFERROR(VLOOKUP(Tabla1[[#This Row],[RUTA]],Tabla2[[#All],[RUTA]:[CONDUCTOR]],4,0),"")</f>
        <v>DANIEL</v>
      </c>
      <c r="J43" s="49" t="str">
        <f>IFERROR(VLOOKUP(Tabla1[[#This Row],[RUTA]],Tabla2[#All],5,0),"")</f>
        <v>JAMBO</v>
      </c>
      <c r="K43" s="50" t="s">
        <v>16</v>
      </c>
      <c r="L43" s="52"/>
      <c r="M43" s="53"/>
      <c r="N43" s="54" t="str">
        <f>IF(Tabla1[[#This Row],[ESTADO]]="ENTREGADO",IF(Tabla1[[#This Row],[OBSERVACIÓN]]="OK","SI","NO"),"")</f>
        <v/>
      </c>
    </row>
    <row r="44" spans="1:14" x14ac:dyDescent="0.2">
      <c r="A44" s="48">
        <v>45162</v>
      </c>
      <c r="B44" s="49" t="s">
        <v>136</v>
      </c>
      <c r="C44" s="49">
        <v>118</v>
      </c>
      <c r="D44" s="49">
        <v>3</v>
      </c>
      <c r="E44" s="49" t="str">
        <f>VLOOKUP(Tabla1[[#This Row],[ID TIENDA]],Guias[],2,0)</f>
        <v>T994-00164994</v>
      </c>
      <c r="F44" s="51">
        <v>2311.1</v>
      </c>
      <c r="G44" s="49" t="str">
        <f>IFERROR(VLOOKUP(Tabla1[[#This Row],[RUTA]],Tabla2[#All],3,0),"")</f>
        <v>PALOMINO</v>
      </c>
      <c r="H44" s="49" t="str">
        <f>IFERROR(VLOOKUP(Tabla1[[#This Row],[RUTA]],Tabla2[[#All],[RUTA]:[PLACAS]],2,0),"")</f>
        <v>C3Z-800</v>
      </c>
      <c r="I44" s="49" t="str">
        <f>IFERROR(VLOOKUP(Tabla1[[#This Row],[RUTA]],Tabla2[[#All],[RUTA]:[CONDUCTOR]],4,0),"")</f>
        <v>DANIEL</v>
      </c>
      <c r="J44" s="49" t="str">
        <f>IFERROR(VLOOKUP(Tabla1[[#This Row],[RUTA]],Tabla2[#All],5,0),"")</f>
        <v>JAMBO</v>
      </c>
      <c r="K44" s="50" t="s">
        <v>16</v>
      </c>
      <c r="L44" s="52"/>
      <c r="M44" s="53"/>
      <c r="N44" s="54" t="str">
        <f>IF(Tabla1[[#This Row],[ESTADO]]="ENTREGADO",IF(Tabla1[[#This Row],[OBSERVACIÓN]]="OK","SI","NO"),"")</f>
        <v/>
      </c>
    </row>
    <row r="45" spans="1:14" x14ac:dyDescent="0.2">
      <c r="A45" s="48">
        <v>45162</v>
      </c>
      <c r="B45" s="49" t="s">
        <v>137</v>
      </c>
      <c r="C45" s="49">
        <v>412</v>
      </c>
      <c r="D45" s="49">
        <v>4</v>
      </c>
      <c r="E45" s="49" t="str">
        <f>VLOOKUP(Tabla1[[#This Row],[ID TIENDA]],Guias[],2,0)</f>
        <v>T994-00165110</v>
      </c>
      <c r="F45" s="51">
        <v>1742.88</v>
      </c>
      <c r="G45" s="49" t="str">
        <f>IFERROR(VLOOKUP(Tabla1[[#This Row],[RUTA]],Tabla2[#All],3,0),"")</f>
        <v>PALOMINO</v>
      </c>
      <c r="H45" s="49" t="str">
        <f>IFERROR(VLOOKUP(Tabla1[[#This Row],[RUTA]],Tabla2[[#All],[RUTA]:[PLACAS]],2,0),"")</f>
        <v>BUX-927</v>
      </c>
      <c r="I45" s="49" t="str">
        <f>IFERROR(VLOOKUP(Tabla1[[#This Row],[RUTA]],Tabla2[[#All],[RUTA]:[CONDUCTOR]],4,0),"")</f>
        <v>RICARDO</v>
      </c>
      <c r="J45" s="49" t="str">
        <f>IFERROR(VLOOKUP(Tabla1[[#This Row],[RUTA]],Tabla2[#All],5,0),"")</f>
        <v>MIGUEL</v>
      </c>
      <c r="K45" s="50" t="s">
        <v>16</v>
      </c>
      <c r="L45" s="52"/>
      <c r="M45" s="53"/>
      <c r="N45" s="54" t="str">
        <f>IF(Tabla1[[#This Row],[ESTADO]]="ENTREGADO",IF(Tabla1[[#This Row],[OBSERVACIÓN]]="OK","SI","NO"),"")</f>
        <v/>
      </c>
    </row>
    <row r="46" spans="1:14" x14ac:dyDescent="0.2">
      <c r="A46" s="48">
        <v>45162</v>
      </c>
      <c r="B46" s="49" t="s">
        <v>138</v>
      </c>
      <c r="C46" s="49">
        <v>371</v>
      </c>
      <c r="D46" s="49">
        <v>4</v>
      </c>
      <c r="E46" s="49" t="str">
        <f>VLOOKUP(Tabla1[[#This Row],[ID TIENDA]],Guias[],2,0)</f>
        <v>T994-00165076</v>
      </c>
      <c r="F46" s="51">
        <v>2466.36</v>
      </c>
      <c r="G46" s="49" t="str">
        <f>IFERROR(VLOOKUP(Tabla1[[#This Row],[RUTA]],Tabla2[#All],3,0),"")</f>
        <v>PALOMINO</v>
      </c>
      <c r="H46" s="49" t="str">
        <f>IFERROR(VLOOKUP(Tabla1[[#This Row],[RUTA]],Tabla2[[#All],[RUTA]:[PLACAS]],2,0),"")</f>
        <v>BUX-927</v>
      </c>
      <c r="I46" s="49" t="str">
        <f>IFERROR(VLOOKUP(Tabla1[[#This Row],[RUTA]],Tabla2[[#All],[RUTA]:[CONDUCTOR]],4,0),"")</f>
        <v>RICARDO</v>
      </c>
      <c r="J46" s="49" t="str">
        <f>IFERROR(VLOOKUP(Tabla1[[#This Row],[RUTA]],Tabla2[#All],5,0),"")</f>
        <v>MIGUEL</v>
      </c>
      <c r="K46" s="50" t="s">
        <v>16</v>
      </c>
      <c r="L46" s="52"/>
      <c r="M46" s="53"/>
      <c r="N46" s="54" t="str">
        <f>IF(Tabla1[[#This Row],[ESTADO]]="ENTREGADO",IF(Tabla1[[#This Row],[OBSERVACIÓN]]="OK","SI","NO"),"")</f>
        <v/>
      </c>
    </row>
    <row r="47" spans="1:14" x14ac:dyDescent="0.2">
      <c r="A47" s="48">
        <v>45162</v>
      </c>
      <c r="B47" s="49" t="s">
        <v>139</v>
      </c>
      <c r="C47" s="49">
        <v>228</v>
      </c>
      <c r="D47" s="49">
        <v>4</v>
      </c>
      <c r="E47" s="49" t="str">
        <f>VLOOKUP(Tabla1[[#This Row],[ID TIENDA]],Guias[],2,0)</f>
        <v>T994-00165054</v>
      </c>
      <c r="F47" s="51">
        <v>2424.3200000000002</v>
      </c>
      <c r="G47" s="49" t="str">
        <f>IFERROR(VLOOKUP(Tabla1[[#This Row],[RUTA]],Tabla2[#All],3,0),"")</f>
        <v>PALOMINO</v>
      </c>
      <c r="H47" s="49" t="str">
        <f>IFERROR(VLOOKUP(Tabla1[[#This Row],[RUTA]],Tabla2[[#All],[RUTA]:[PLACAS]],2,0),"")</f>
        <v>BUX-927</v>
      </c>
      <c r="I47" s="49" t="str">
        <f>IFERROR(VLOOKUP(Tabla1[[#This Row],[RUTA]],Tabla2[[#All],[RUTA]:[CONDUCTOR]],4,0),"")</f>
        <v>RICARDO</v>
      </c>
      <c r="J47" s="49" t="str">
        <f>IFERROR(VLOOKUP(Tabla1[[#This Row],[RUTA]],Tabla2[#All],5,0),"")</f>
        <v>MIGUEL</v>
      </c>
      <c r="K47" s="50" t="s">
        <v>16</v>
      </c>
      <c r="L47" s="52"/>
      <c r="M47" s="53"/>
      <c r="N47" s="54" t="str">
        <f>IF(Tabla1[[#This Row],[ESTADO]]="ENTREGADO",IF(Tabla1[[#This Row],[OBSERVACIÓN]]="OK","SI","NO"),"")</f>
        <v/>
      </c>
    </row>
    <row r="48" spans="1:14" x14ac:dyDescent="0.2">
      <c r="A48" s="48">
        <v>45162</v>
      </c>
      <c r="B48" s="49" t="s">
        <v>140</v>
      </c>
      <c r="C48" s="49">
        <v>164</v>
      </c>
      <c r="D48" s="49">
        <v>4</v>
      </c>
      <c r="E48" s="49" t="str">
        <f>VLOOKUP(Tabla1[[#This Row],[ID TIENDA]],Guias[],2,0)</f>
        <v>T994-00164978</v>
      </c>
      <c r="F48" s="51">
        <v>1806.95</v>
      </c>
      <c r="G48" s="49" t="str">
        <f>IFERROR(VLOOKUP(Tabla1[[#This Row],[RUTA]],Tabla2[#All],3,0),"")</f>
        <v>PALOMINO</v>
      </c>
      <c r="H48" s="49" t="str">
        <f>IFERROR(VLOOKUP(Tabla1[[#This Row],[RUTA]],Tabla2[[#All],[RUTA]:[PLACAS]],2,0),"")</f>
        <v>BUX-927</v>
      </c>
      <c r="I48" s="49" t="str">
        <f>IFERROR(VLOOKUP(Tabla1[[#This Row],[RUTA]],Tabla2[[#All],[RUTA]:[CONDUCTOR]],4,0),"")</f>
        <v>RICARDO</v>
      </c>
      <c r="J48" s="49" t="str">
        <f>IFERROR(VLOOKUP(Tabla1[[#This Row],[RUTA]],Tabla2[#All],5,0),"")</f>
        <v>MIGUEL</v>
      </c>
      <c r="K48" s="50" t="s">
        <v>16</v>
      </c>
      <c r="L48" s="52"/>
      <c r="M48" s="53"/>
      <c r="N48" s="54" t="str">
        <f>IF(Tabla1[[#This Row],[ESTADO]]="ENTREGADO",IF(Tabla1[[#This Row],[OBSERVACIÓN]]="OK","SI","NO"),"")</f>
        <v/>
      </c>
    </row>
    <row r="49" spans="1:14" x14ac:dyDescent="0.2">
      <c r="A49" s="48">
        <v>45162</v>
      </c>
      <c r="B49" s="49" t="s">
        <v>141</v>
      </c>
      <c r="C49" s="49">
        <v>112</v>
      </c>
      <c r="D49" s="49">
        <v>4</v>
      </c>
      <c r="E49" s="49" t="str">
        <f>VLOOKUP(Tabla1[[#This Row],[ID TIENDA]],Guias[],2,0)</f>
        <v>T994-00165114</v>
      </c>
      <c r="F49" s="51">
        <v>2222.8000000000002</v>
      </c>
      <c r="G49" s="49" t="str">
        <f>IFERROR(VLOOKUP(Tabla1[[#This Row],[RUTA]],Tabla2[#All],3,0),"")</f>
        <v>PALOMINO</v>
      </c>
      <c r="H49" s="49" t="str">
        <f>IFERROR(VLOOKUP(Tabla1[[#This Row],[RUTA]],Tabla2[[#All],[RUTA]:[PLACAS]],2,0),"")</f>
        <v>BUX-927</v>
      </c>
      <c r="I49" s="49" t="str">
        <f>IFERROR(VLOOKUP(Tabla1[[#This Row],[RUTA]],Tabla2[[#All],[RUTA]:[CONDUCTOR]],4,0),"")</f>
        <v>RICARDO</v>
      </c>
      <c r="J49" s="49" t="str">
        <f>IFERROR(VLOOKUP(Tabla1[[#This Row],[RUTA]],Tabla2[#All],5,0),"")</f>
        <v>MIGUEL</v>
      </c>
      <c r="K49" s="50" t="s">
        <v>16</v>
      </c>
      <c r="L49" s="52"/>
      <c r="M49" s="53"/>
      <c r="N49" s="54" t="str">
        <f>IF(Tabla1[[#This Row],[ESTADO]]="ENTREGADO",IF(Tabla1[[#This Row],[OBSERVACIÓN]]="OK","SI","NO"),"")</f>
        <v/>
      </c>
    </row>
    <row r="50" spans="1:14" x14ac:dyDescent="0.2">
      <c r="A50" s="48">
        <v>45162</v>
      </c>
      <c r="B50" s="49" t="s">
        <v>142</v>
      </c>
      <c r="C50" s="49">
        <v>219</v>
      </c>
      <c r="D50" s="49">
        <v>4</v>
      </c>
      <c r="E50" s="49" t="str">
        <f>VLOOKUP(Tabla1[[#This Row],[ID TIENDA]],Guias[],2,0)</f>
        <v>T994-00165068</v>
      </c>
      <c r="F50" s="51">
        <v>1336.1</v>
      </c>
      <c r="G50" s="49" t="str">
        <f>IFERROR(VLOOKUP(Tabla1[[#This Row],[RUTA]],Tabla2[#All],3,0),"")</f>
        <v>PALOMINO</v>
      </c>
      <c r="H50" s="49" t="str">
        <f>IFERROR(VLOOKUP(Tabla1[[#This Row],[RUTA]],Tabla2[[#All],[RUTA]:[PLACAS]],2,0),"")</f>
        <v>BUX-927</v>
      </c>
      <c r="I50" s="49" t="str">
        <f>IFERROR(VLOOKUP(Tabla1[[#This Row],[RUTA]],Tabla2[[#All],[RUTA]:[CONDUCTOR]],4,0),"")</f>
        <v>RICARDO</v>
      </c>
      <c r="J50" s="49" t="str">
        <f>IFERROR(VLOOKUP(Tabla1[[#This Row],[RUTA]],Tabla2[#All],5,0),"")</f>
        <v>MIGUEL</v>
      </c>
      <c r="K50" s="50" t="s">
        <v>16</v>
      </c>
      <c r="L50" s="52"/>
      <c r="M50" s="53"/>
      <c r="N50" s="54" t="str">
        <f>IF(Tabla1[[#This Row],[ESTADO]]="ENTREGADO",IF(Tabla1[[#This Row],[OBSERVACIÓN]]="OK","SI","NO"),"")</f>
        <v/>
      </c>
    </row>
    <row r="51" spans="1:14" x14ac:dyDescent="0.2">
      <c r="A51" s="48">
        <v>45162</v>
      </c>
      <c r="B51" s="49" t="s">
        <v>143</v>
      </c>
      <c r="C51" s="49">
        <v>65</v>
      </c>
      <c r="D51" s="49">
        <v>4</v>
      </c>
      <c r="E51" s="49" t="str">
        <f>VLOOKUP(Tabla1[[#This Row],[ID TIENDA]],Guias[],2,0)</f>
        <v>T994-00165061</v>
      </c>
      <c r="F51" s="51">
        <v>3039.92</v>
      </c>
      <c r="G51" s="49" t="str">
        <f>IFERROR(VLOOKUP(Tabla1[[#This Row],[RUTA]],Tabla2[#All],3,0),"")</f>
        <v>PALOMINO</v>
      </c>
      <c r="H51" s="49" t="str">
        <f>IFERROR(VLOOKUP(Tabla1[[#This Row],[RUTA]],Tabla2[[#All],[RUTA]:[PLACAS]],2,0),"")</f>
        <v>BUX-927</v>
      </c>
      <c r="I51" s="49" t="str">
        <f>IFERROR(VLOOKUP(Tabla1[[#This Row],[RUTA]],Tabla2[[#All],[RUTA]:[CONDUCTOR]],4,0),"")</f>
        <v>RICARDO</v>
      </c>
      <c r="J51" s="49" t="str">
        <f>IFERROR(VLOOKUP(Tabla1[[#This Row],[RUTA]],Tabla2[#All],5,0),"")</f>
        <v>MIGUEL</v>
      </c>
      <c r="K51" s="50" t="s">
        <v>16</v>
      </c>
      <c r="L51" s="52"/>
      <c r="M51" s="53"/>
      <c r="N51" s="54" t="str">
        <f>IF(Tabla1[[#This Row],[ESTADO]]="ENTREGADO",IF(Tabla1[[#This Row],[OBSERVACIÓN]]="OK","SI","NO"),"")</f>
        <v/>
      </c>
    </row>
    <row r="52" spans="1:14" x14ac:dyDescent="0.2">
      <c r="A52" s="48">
        <v>45162</v>
      </c>
      <c r="B52" s="49" t="s">
        <v>144</v>
      </c>
      <c r="C52" s="49">
        <v>426</v>
      </c>
      <c r="D52" s="49">
        <v>4</v>
      </c>
      <c r="E52" s="49" t="str">
        <f>VLOOKUP(Tabla1[[#This Row],[ID TIENDA]],Guias[],2,0)</f>
        <v>T994-00164981</v>
      </c>
      <c r="F52" s="51">
        <v>2039.24</v>
      </c>
      <c r="G52" s="49" t="str">
        <f>IFERROR(VLOOKUP(Tabla1[[#This Row],[RUTA]],Tabla2[#All],3,0),"")</f>
        <v>PALOMINO</v>
      </c>
      <c r="H52" s="49" t="str">
        <f>IFERROR(VLOOKUP(Tabla1[[#This Row],[RUTA]],Tabla2[[#All],[RUTA]:[PLACAS]],2,0),"")</f>
        <v>BUX-927</v>
      </c>
      <c r="I52" s="49" t="str">
        <f>IFERROR(VLOOKUP(Tabla1[[#This Row],[RUTA]],Tabla2[[#All],[RUTA]:[CONDUCTOR]],4,0),"")</f>
        <v>RICARDO</v>
      </c>
      <c r="J52" s="49" t="str">
        <f>IFERROR(VLOOKUP(Tabla1[[#This Row],[RUTA]],Tabla2[#All],5,0),"")</f>
        <v>MIGUEL</v>
      </c>
      <c r="K52" s="50" t="s">
        <v>16</v>
      </c>
      <c r="L52" s="52"/>
      <c r="M52" s="53"/>
      <c r="N52" s="54" t="str">
        <f>IF(Tabla1[[#This Row],[ESTADO]]="ENTREGADO",IF(Tabla1[[#This Row],[OBSERVACIÓN]]="OK","SI","NO"),"")</f>
        <v/>
      </c>
    </row>
    <row r="53" spans="1:14" x14ac:dyDescent="0.2">
      <c r="A53" s="48">
        <v>45162</v>
      </c>
      <c r="B53" s="49" t="s">
        <v>145</v>
      </c>
      <c r="C53" s="49">
        <v>141</v>
      </c>
      <c r="D53" s="49">
        <v>4</v>
      </c>
      <c r="E53" s="49" t="str">
        <f>VLOOKUP(Tabla1[[#This Row],[ID TIENDA]],Guias[],2,0)</f>
        <v>T994-00165051</v>
      </c>
      <c r="F53" s="51">
        <v>3256.61</v>
      </c>
      <c r="G53" s="49" t="str">
        <f>IFERROR(VLOOKUP(Tabla1[[#This Row],[RUTA]],Tabla2[#All],3,0),"")</f>
        <v>PALOMINO</v>
      </c>
      <c r="H53" s="49" t="str">
        <f>IFERROR(VLOOKUP(Tabla1[[#This Row],[RUTA]],Tabla2[[#All],[RUTA]:[PLACAS]],2,0),"")</f>
        <v>BUX-927</v>
      </c>
      <c r="I53" s="49" t="str">
        <f>IFERROR(VLOOKUP(Tabla1[[#This Row],[RUTA]],Tabla2[[#All],[RUTA]:[CONDUCTOR]],4,0),"")</f>
        <v>RICARDO</v>
      </c>
      <c r="J53" s="49" t="str">
        <f>IFERROR(VLOOKUP(Tabla1[[#This Row],[RUTA]],Tabla2[#All],5,0),"")</f>
        <v>MIGUEL</v>
      </c>
      <c r="K53" s="50" t="s">
        <v>16</v>
      </c>
      <c r="L53" s="52"/>
      <c r="M53" s="53"/>
      <c r="N53" s="54" t="str">
        <f>IF(Tabla1[[#This Row],[ESTADO]]="ENTREGADO",IF(Tabla1[[#This Row],[OBSERVACIÓN]]="OK","SI","NO"),"")</f>
        <v/>
      </c>
    </row>
    <row r="54" spans="1:14" x14ac:dyDescent="0.2">
      <c r="A54" s="48">
        <v>45162</v>
      </c>
      <c r="B54" s="49" t="s">
        <v>146</v>
      </c>
      <c r="C54" s="49">
        <v>257</v>
      </c>
      <c r="D54" s="49">
        <v>4</v>
      </c>
      <c r="E54" s="49" t="str">
        <f>VLOOKUP(Tabla1[[#This Row],[ID TIENDA]],Guias[],2,0)</f>
        <v>T994-00165138</v>
      </c>
      <c r="F54" s="51">
        <v>2075.85</v>
      </c>
      <c r="G54" s="49" t="str">
        <f>IFERROR(VLOOKUP(Tabla1[[#This Row],[RUTA]],Tabla2[#All],3,0),"")</f>
        <v>PALOMINO</v>
      </c>
      <c r="H54" s="49" t="str">
        <f>IFERROR(VLOOKUP(Tabla1[[#This Row],[RUTA]],Tabla2[[#All],[RUTA]:[PLACAS]],2,0),"")</f>
        <v>BUX-927</v>
      </c>
      <c r="I54" s="49" t="str">
        <f>IFERROR(VLOOKUP(Tabla1[[#This Row],[RUTA]],Tabla2[[#All],[RUTA]:[CONDUCTOR]],4,0),"")</f>
        <v>RICARDO</v>
      </c>
      <c r="J54" s="49" t="str">
        <f>IFERROR(VLOOKUP(Tabla1[[#This Row],[RUTA]],Tabla2[#All],5,0),"")</f>
        <v>MIGUEL</v>
      </c>
      <c r="K54" s="50" t="s">
        <v>16</v>
      </c>
      <c r="L54" s="52"/>
      <c r="M54" s="53"/>
      <c r="N54" s="54" t="str">
        <f>IF(Tabla1[[#This Row],[ESTADO]]="ENTREGADO",IF(Tabla1[[#This Row],[OBSERVACIÓN]]="OK","SI","NO"),"")</f>
        <v/>
      </c>
    </row>
    <row r="55" spans="1:14" x14ac:dyDescent="0.2">
      <c r="A55" s="48">
        <v>45162</v>
      </c>
      <c r="B55" s="49" t="s">
        <v>147</v>
      </c>
      <c r="C55" s="49">
        <v>513</v>
      </c>
      <c r="D55" s="49">
        <v>4</v>
      </c>
      <c r="E55" s="49" t="str">
        <f>VLOOKUP(Tabla1[[#This Row],[ID TIENDA]],Guias[],2,0)</f>
        <v>T994-00165142</v>
      </c>
      <c r="F55" s="51">
        <v>1257.6300000000001</v>
      </c>
      <c r="G55" s="49" t="str">
        <f>IFERROR(VLOOKUP(Tabla1[[#This Row],[RUTA]],Tabla2[#All],3,0),"")</f>
        <v>PALOMINO</v>
      </c>
      <c r="H55" s="49" t="str">
        <f>IFERROR(VLOOKUP(Tabla1[[#This Row],[RUTA]],Tabla2[[#All],[RUTA]:[PLACAS]],2,0),"")</f>
        <v>BUX-927</v>
      </c>
      <c r="I55" s="49" t="str">
        <f>IFERROR(VLOOKUP(Tabla1[[#This Row],[RUTA]],Tabla2[[#All],[RUTA]:[CONDUCTOR]],4,0),"")</f>
        <v>RICARDO</v>
      </c>
      <c r="J55" s="49" t="str">
        <f>IFERROR(VLOOKUP(Tabla1[[#This Row],[RUTA]],Tabla2[#All],5,0),"")</f>
        <v>MIGUEL</v>
      </c>
      <c r="K55" s="50" t="s">
        <v>16</v>
      </c>
      <c r="L55" s="52"/>
      <c r="M55" s="53"/>
      <c r="N55" s="54" t="str">
        <f>IF(Tabla1[[#This Row],[ESTADO]]="ENTREGADO",IF(Tabla1[[#This Row],[OBSERVACIÓN]]="OK","SI","NO"),"")</f>
        <v/>
      </c>
    </row>
    <row r="56" spans="1:14" x14ac:dyDescent="0.2">
      <c r="A56" s="48">
        <v>45162</v>
      </c>
      <c r="B56" s="49" t="s">
        <v>148</v>
      </c>
      <c r="C56" s="49">
        <v>34</v>
      </c>
      <c r="D56" s="49">
        <v>4</v>
      </c>
      <c r="E56" s="49" t="str">
        <f>VLOOKUP(Tabla1[[#This Row],[ID TIENDA]],Guias[],2,0)</f>
        <v>T994-00165021</v>
      </c>
      <c r="F56" s="51">
        <v>1624.15</v>
      </c>
      <c r="G56" s="49" t="str">
        <f>IFERROR(VLOOKUP(Tabla1[[#This Row],[RUTA]],Tabla2[#All],3,0),"")</f>
        <v>PALOMINO</v>
      </c>
      <c r="H56" s="49" t="str">
        <f>IFERROR(VLOOKUP(Tabla1[[#This Row],[RUTA]],Tabla2[[#All],[RUTA]:[PLACAS]],2,0),"")</f>
        <v>BUX-927</v>
      </c>
      <c r="I56" s="49" t="str">
        <f>IFERROR(VLOOKUP(Tabla1[[#This Row],[RUTA]],Tabla2[[#All],[RUTA]:[CONDUCTOR]],4,0),"")</f>
        <v>RICARDO</v>
      </c>
      <c r="J56" s="49" t="str">
        <f>IFERROR(VLOOKUP(Tabla1[[#This Row],[RUTA]],Tabla2[#All],5,0),"")</f>
        <v>MIGUEL</v>
      </c>
      <c r="K56" s="50" t="s">
        <v>16</v>
      </c>
      <c r="L56" s="52"/>
      <c r="M56" s="53"/>
      <c r="N56" s="54" t="str">
        <f>IF(Tabla1[[#This Row],[ESTADO]]="ENTREGADO",IF(Tabla1[[#This Row],[OBSERVACIÓN]]="OK","SI","NO"),"")</f>
        <v/>
      </c>
    </row>
    <row r="57" spans="1:14" x14ac:dyDescent="0.2">
      <c r="A57" s="48">
        <v>45162</v>
      </c>
      <c r="B57" s="49" t="s">
        <v>149</v>
      </c>
      <c r="C57" s="49">
        <v>67</v>
      </c>
      <c r="D57" s="49">
        <v>4</v>
      </c>
      <c r="E57" s="49" t="str">
        <f>VLOOKUP(Tabla1[[#This Row],[ID TIENDA]],Guias[],2,0)</f>
        <v>T994-00165128</v>
      </c>
      <c r="F57" s="51">
        <v>2200.25</v>
      </c>
      <c r="G57" s="49" t="str">
        <f>IFERROR(VLOOKUP(Tabla1[[#This Row],[RUTA]],Tabla2[#All],3,0),"")</f>
        <v>PALOMINO</v>
      </c>
      <c r="H57" s="49" t="str">
        <f>IFERROR(VLOOKUP(Tabla1[[#This Row],[RUTA]],Tabla2[[#All],[RUTA]:[PLACAS]],2,0),"")</f>
        <v>BUX-927</v>
      </c>
      <c r="I57" s="49" t="str">
        <f>IFERROR(VLOOKUP(Tabla1[[#This Row],[RUTA]],Tabla2[[#All],[RUTA]:[CONDUCTOR]],4,0),"")</f>
        <v>RICARDO</v>
      </c>
      <c r="J57" s="49" t="str">
        <f>IFERROR(VLOOKUP(Tabla1[[#This Row],[RUTA]],Tabla2[#All],5,0),"")</f>
        <v>MIGUEL</v>
      </c>
      <c r="K57" s="50" t="s">
        <v>16</v>
      </c>
      <c r="L57" s="52"/>
      <c r="M57" s="53"/>
      <c r="N57" s="54" t="str">
        <f>IF(Tabla1[[#This Row],[ESTADO]]="ENTREGADO",IF(Tabla1[[#This Row],[OBSERVACIÓN]]="OK","SI","NO"),"")</f>
        <v/>
      </c>
    </row>
    <row r="58" spans="1:14" x14ac:dyDescent="0.2">
      <c r="A58" s="48">
        <v>45162</v>
      </c>
      <c r="B58" s="49" t="s">
        <v>50</v>
      </c>
      <c r="C58" s="49">
        <v>121</v>
      </c>
      <c r="D58" s="49">
        <v>5</v>
      </c>
      <c r="E58" s="49" t="str">
        <f>VLOOKUP(Tabla1[[#This Row],[ID TIENDA]],Guias[],2,0)</f>
        <v>T994-00165095</v>
      </c>
      <c r="F58" s="51">
        <v>1979.66</v>
      </c>
      <c r="G58" s="49" t="str">
        <f>IFERROR(VLOOKUP(Tabla1[[#This Row],[RUTA]],Tabla2[#All],3,0),"")</f>
        <v>PALOMINO</v>
      </c>
      <c r="H58" s="49" t="str">
        <f>IFERROR(VLOOKUP(Tabla1[[#This Row],[RUTA]],Tabla2[[#All],[RUTA]:[PLACAS]],2,0),"")</f>
        <v>BMT-901</v>
      </c>
      <c r="I58" s="49" t="str">
        <f>IFERROR(VLOOKUP(Tabla1[[#This Row],[RUTA]],Tabla2[[#All],[RUTA]:[CONDUCTOR]],4,0),"")</f>
        <v>BENDEZU</v>
      </c>
      <c r="J58" s="49" t="str">
        <f>IFERROR(VLOOKUP(Tabla1[[#This Row],[RUTA]],Tabla2[#All],5,0),"")</f>
        <v>JHON</v>
      </c>
      <c r="K58" s="50" t="s">
        <v>16</v>
      </c>
      <c r="L58" s="52"/>
      <c r="M58" s="53"/>
      <c r="N58" s="54" t="str">
        <f>IF(Tabla1[[#This Row],[ESTADO]]="ENTREGADO",IF(Tabla1[[#This Row],[OBSERVACIÓN]]="OK","SI","NO"),"")</f>
        <v/>
      </c>
    </row>
    <row r="59" spans="1:14" x14ac:dyDescent="0.2">
      <c r="A59" s="48">
        <v>45162</v>
      </c>
      <c r="B59" s="49" t="s">
        <v>150</v>
      </c>
      <c r="C59" s="49">
        <v>364</v>
      </c>
      <c r="D59" s="49">
        <v>5</v>
      </c>
      <c r="E59" s="49" t="str">
        <f>VLOOKUP(Tabla1[[#This Row],[ID TIENDA]],Guias[],2,0)</f>
        <v>T994-00164991</v>
      </c>
      <c r="F59" s="51">
        <v>2293.0500000000002</v>
      </c>
      <c r="G59" s="49" t="str">
        <f>IFERROR(VLOOKUP(Tabla1[[#This Row],[RUTA]],Tabla2[#All],3,0),"")</f>
        <v>PALOMINO</v>
      </c>
      <c r="H59" s="49" t="str">
        <f>IFERROR(VLOOKUP(Tabla1[[#This Row],[RUTA]],Tabla2[[#All],[RUTA]:[PLACAS]],2,0),"")</f>
        <v>BMT-901</v>
      </c>
      <c r="I59" s="49" t="str">
        <f>IFERROR(VLOOKUP(Tabla1[[#This Row],[RUTA]],Tabla2[[#All],[RUTA]:[CONDUCTOR]],4,0),"")</f>
        <v>BENDEZU</v>
      </c>
      <c r="J59" s="49" t="str">
        <f>IFERROR(VLOOKUP(Tabla1[[#This Row],[RUTA]],Tabla2[#All],5,0),"")</f>
        <v>JHON</v>
      </c>
      <c r="K59" s="50" t="s">
        <v>16</v>
      </c>
      <c r="L59" s="52"/>
      <c r="M59" s="53"/>
      <c r="N59" s="54" t="str">
        <f>IF(Tabla1[[#This Row],[ESTADO]]="ENTREGADO",IF(Tabla1[[#This Row],[OBSERVACIÓN]]="OK","SI","NO"),"")</f>
        <v/>
      </c>
    </row>
    <row r="60" spans="1:14" x14ac:dyDescent="0.2">
      <c r="A60" s="48">
        <v>45162</v>
      </c>
      <c r="B60" s="49" t="s">
        <v>151</v>
      </c>
      <c r="C60" s="49">
        <v>188</v>
      </c>
      <c r="D60" s="49">
        <v>5</v>
      </c>
      <c r="E60" s="49" t="str">
        <f>VLOOKUP(Tabla1[[#This Row],[ID TIENDA]],Guias[],2,0)</f>
        <v>T994-00164995</v>
      </c>
      <c r="F60" s="51">
        <v>22909.41</v>
      </c>
      <c r="G60" s="49" t="str">
        <f>IFERROR(VLOOKUP(Tabla1[[#This Row],[RUTA]],Tabla2[#All],3,0),"")</f>
        <v>PALOMINO</v>
      </c>
      <c r="H60" s="49" t="str">
        <f>IFERROR(VLOOKUP(Tabla1[[#This Row],[RUTA]],Tabla2[[#All],[RUTA]:[PLACAS]],2,0),"")</f>
        <v>BMT-901</v>
      </c>
      <c r="I60" s="49" t="str">
        <f>IFERROR(VLOOKUP(Tabla1[[#This Row],[RUTA]],Tabla2[[#All],[RUTA]:[CONDUCTOR]],4,0),"")</f>
        <v>BENDEZU</v>
      </c>
      <c r="J60" s="49" t="str">
        <f>IFERROR(VLOOKUP(Tabla1[[#This Row],[RUTA]],Tabla2[#All],5,0),"")</f>
        <v>JHON</v>
      </c>
      <c r="K60" s="50" t="s">
        <v>16</v>
      </c>
      <c r="L60" s="52"/>
      <c r="M60" s="53"/>
      <c r="N60" s="54" t="str">
        <f>IF(Tabla1[[#This Row],[ESTADO]]="ENTREGADO",IF(Tabla1[[#This Row],[OBSERVACIÓN]]="OK","SI","NO"),"")</f>
        <v/>
      </c>
    </row>
    <row r="61" spans="1:14" x14ac:dyDescent="0.2">
      <c r="A61" s="48">
        <v>45162</v>
      </c>
      <c r="B61" s="49" t="s">
        <v>152</v>
      </c>
      <c r="C61" s="49">
        <v>506</v>
      </c>
      <c r="D61" s="49">
        <v>5</v>
      </c>
      <c r="E61" s="49" t="str">
        <f>VLOOKUP(Tabla1[[#This Row],[ID TIENDA]],Guias[],2,0)</f>
        <v>T994-00165136</v>
      </c>
      <c r="F61" s="51">
        <v>999.92</v>
      </c>
      <c r="G61" s="49" t="str">
        <f>IFERROR(VLOOKUP(Tabla1[[#This Row],[RUTA]],Tabla2[#All],3,0),"")</f>
        <v>PALOMINO</v>
      </c>
      <c r="H61" s="49" t="str">
        <f>IFERROR(VLOOKUP(Tabla1[[#This Row],[RUTA]],Tabla2[[#All],[RUTA]:[PLACAS]],2,0),"")</f>
        <v>BMT-901</v>
      </c>
      <c r="I61" s="49" t="str">
        <f>IFERROR(VLOOKUP(Tabla1[[#This Row],[RUTA]],Tabla2[[#All],[RUTA]:[CONDUCTOR]],4,0),"")</f>
        <v>BENDEZU</v>
      </c>
      <c r="J61" s="49" t="str">
        <f>IFERROR(VLOOKUP(Tabla1[[#This Row],[RUTA]],Tabla2[#All],5,0),"")</f>
        <v>JHON</v>
      </c>
      <c r="K61" s="50" t="s">
        <v>16</v>
      </c>
      <c r="L61" s="52"/>
      <c r="M61" s="53"/>
      <c r="N61" s="54" t="str">
        <f>IF(Tabla1[[#This Row],[ESTADO]]="ENTREGADO",IF(Tabla1[[#This Row],[OBSERVACIÓN]]="OK","SI","NO"),"")</f>
        <v/>
      </c>
    </row>
    <row r="62" spans="1:14" x14ac:dyDescent="0.2">
      <c r="A62" s="48">
        <v>45162</v>
      </c>
      <c r="B62" s="49" t="s">
        <v>51</v>
      </c>
      <c r="C62" s="49">
        <v>127</v>
      </c>
      <c r="D62" s="49">
        <v>5</v>
      </c>
      <c r="E62" s="49" t="str">
        <f>VLOOKUP(Tabla1[[#This Row],[ID TIENDA]],Guias[],2,0)</f>
        <v>T994-00165169</v>
      </c>
      <c r="F62" s="51">
        <v>509.83</v>
      </c>
      <c r="G62" s="49" t="str">
        <f>IFERROR(VLOOKUP(Tabla1[[#This Row],[RUTA]],Tabla2[#All],3,0),"")</f>
        <v>PALOMINO</v>
      </c>
      <c r="H62" s="49" t="str">
        <f>IFERROR(VLOOKUP(Tabla1[[#This Row],[RUTA]],Tabla2[[#All],[RUTA]:[PLACAS]],2,0),"")</f>
        <v>BMT-901</v>
      </c>
      <c r="I62" s="49" t="str">
        <f>IFERROR(VLOOKUP(Tabla1[[#This Row],[RUTA]],Tabla2[[#All],[RUTA]:[CONDUCTOR]],4,0),"")</f>
        <v>BENDEZU</v>
      </c>
      <c r="J62" s="49" t="str">
        <f>IFERROR(VLOOKUP(Tabla1[[#This Row],[RUTA]],Tabla2[#All],5,0),"")</f>
        <v>JHON</v>
      </c>
      <c r="K62" s="50" t="s">
        <v>16</v>
      </c>
      <c r="L62" s="52"/>
      <c r="M62" s="53"/>
      <c r="N62" s="54" t="str">
        <f>IF(Tabla1[[#This Row],[ESTADO]]="ENTREGADO",IF(Tabla1[[#This Row],[OBSERVACIÓN]]="OK","SI","NO"),"")</f>
        <v/>
      </c>
    </row>
    <row r="63" spans="1:14" x14ac:dyDescent="0.2">
      <c r="A63" s="48">
        <v>45162</v>
      </c>
      <c r="B63" s="49" t="s">
        <v>83</v>
      </c>
      <c r="C63" s="49">
        <v>323</v>
      </c>
      <c r="D63" s="49">
        <v>5</v>
      </c>
      <c r="E63" s="49" t="str">
        <f>VLOOKUP(Tabla1[[#This Row],[ID TIENDA]],Guias[],2,0)</f>
        <v>T994-00165078</v>
      </c>
      <c r="F63" s="51">
        <v>2408.64</v>
      </c>
      <c r="G63" s="49" t="str">
        <f>IFERROR(VLOOKUP(Tabla1[[#This Row],[RUTA]],Tabla2[#All],3,0),"")</f>
        <v>PALOMINO</v>
      </c>
      <c r="H63" s="49" t="str">
        <f>IFERROR(VLOOKUP(Tabla1[[#This Row],[RUTA]],Tabla2[[#All],[RUTA]:[PLACAS]],2,0),"")</f>
        <v>BMT-901</v>
      </c>
      <c r="I63" s="49" t="str">
        <f>IFERROR(VLOOKUP(Tabla1[[#This Row],[RUTA]],Tabla2[[#All],[RUTA]:[CONDUCTOR]],4,0),"")</f>
        <v>BENDEZU</v>
      </c>
      <c r="J63" s="49" t="str">
        <f>IFERROR(VLOOKUP(Tabla1[[#This Row],[RUTA]],Tabla2[#All],5,0),"")</f>
        <v>JHON</v>
      </c>
      <c r="K63" s="50" t="s">
        <v>16</v>
      </c>
      <c r="L63" s="52"/>
      <c r="M63" s="53"/>
      <c r="N63" s="54" t="str">
        <f>IF(Tabla1[[#This Row],[ESTADO]]="ENTREGADO",IF(Tabla1[[#This Row],[OBSERVACIÓN]]="OK","SI","NO"),"")</f>
        <v/>
      </c>
    </row>
    <row r="64" spans="1:14" x14ac:dyDescent="0.2">
      <c r="A64" s="48">
        <v>45162</v>
      </c>
      <c r="B64" s="49" t="s">
        <v>153</v>
      </c>
      <c r="C64" s="49">
        <v>212</v>
      </c>
      <c r="D64" s="49">
        <v>5</v>
      </c>
      <c r="E64" s="49" t="str">
        <f>VLOOKUP(Tabla1[[#This Row],[ID TIENDA]],Guias[],2,0)</f>
        <v>T994-00165035</v>
      </c>
      <c r="F64" s="51">
        <v>2403.0500000000002</v>
      </c>
      <c r="G64" s="49" t="str">
        <f>IFERROR(VLOOKUP(Tabla1[[#This Row],[RUTA]],Tabla2[#All],3,0),"")</f>
        <v>PALOMINO</v>
      </c>
      <c r="H64" s="49" t="str">
        <f>IFERROR(VLOOKUP(Tabla1[[#This Row],[RUTA]],Tabla2[[#All],[RUTA]:[PLACAS]],2,0),"")</f>
        <v>BMT-901</v>
      </c>
      <c r="I64" s="49" t="str">
        <f>IFERROR(VLOOKUP(Tabla1[[#This Row],[RUTA]],Tabla2[[#All],[RUTA]:[CONDUCTOR]],4,0),"")</f>
        <v>BENDEZU</v>
      </c>
      <c r="J64" s="49" t="str">
        <f>IFERROR(VLOOKUP(Tabla1[[#This Row],[RUTA]],Tabla2[#All],5,0),"")</f>
        <v>JHON</v>
      </c>
      <c r="K64" s="50" t="s">
        <v>16</v>
      </c>
      <c r="L64" s="52"/>
      <c r="M64" s="53"/>
      <c r="N64" s="54" t="str">
        <f>IF(Tabla1[[#This Row],[ESTADO]]="ENTREGADO",IF(Tabla1[[#This Row],[OBSERVACIÓN]]="OK","SI","NO"),"")</f>
        <v/>
      </c>
    </row>
    <row r="65" spans="1:14" x14ac:dyDescent="0.2">
      <c r="A65" s="48">
        <v>45162</v>
      </c>
      <c r="B65" s="49" t="s">
        <v>154</v>
      </c>
      <c r="C65" s="49">
        <v>297</v>
      </c>
      <c r="D65" s="49">
        <v>5</v>
      </c>
      <c r="E65" s="49" t="str">
        <f>VLOOKUP(Tabla1[[#This Row],[ID TIENDA]],Guias[],2,0)</f>
        <v>T994-00164975</v>
      </c>
      <c r="F65" s="51">
        <v>1370</v>
      </c>
      <c r="G65" s="49" t="str">
        <f>IFERROR(VLOOKUP(Tabla1[[#This Row],[RUTA]],Tabla2[#All],3,0),"")</f>
        <v>PALOMINO</v>
      </c>
      <c r="H65" s="49" t="str">
        <f>IFERROR(VLOOKUP(Tabla1[[#This Row],[RUTA]],Tabla2[[#All],[RUTA]:[PLACAS]],2,0),"")</f>
        <v>BMT-901</v>
      </c>
      <c r="I65" s="49" t="str">
        <f>IFERROR(VLOOKUP(Tabla1[[#This Row],[RUTA]],Tabla2[[#All],[RUTA]:[CONDUCTOR]],4,0),"")</f>
        <v>BENDEZU</v>
      </c>
      <c r="J65" s="49" t="str">
        <f>IFERROR(VLOOKUP(Tabla1[[#This Row],[RUTA]],Tabla2[#All],5,0),"")</f>
        <v>JHON</v>
      </c>
      <c r="K65" s="50" t="s">
        <v>16</v>
      </c>
      <c r="L65" s="52"/>
      <c r="M65" s="53"/>
      <c r="N65" s="54" t="str">
        <f>IF(Tabla1[[#This Row],[ESTADO]]="ENTREGADO",IF(Tabla1[[#This Row],[OBSERVACIÓN]]="OK","SI","NO"),"")</f>
        <v/>
      </c>
    </row>
    <row r="66" spans="1:14" x14ac:dyDescent="0.2">
      <c r="A66" s="48">
        <v>45162</v>
      </c>
      <c r="B66" s="49" t="s">
        <v>155</v>
      </c>
      <c r="C66" s="49">
        <v>530</v>
      </c>
      <c r="D66" s="49">
        <v>5</v>
      </c>
      <c r="E66" s="49" t="str">
        <f>VLOOKUP(Tabla1[[#This Row],[ID TIENDA]],Guias[],2,0)</f>
        <v>T994-00165034</v>
      </c>
      <c r="F66" s="51">
        <v>1632.03</v>
      </c>
      <c r="G66" s="49" t="str">
        <f>IFERROR(VLOOKUP(Tabla1[[#This Row],[RUTA]],Tabla2[#All],3,0),"")</f>
        <v>PALOMINO</v>
      </c>
      <c r="H66" s="49" t="str">
        <f>IFERROR(VLOOKUP(Tabla1[[#This Row],[RUTA]],Tabla2[[#All],[RUTA]:[PLACAS]],2,0),"")</f>
        <v>BMT-901</v>
      </c>
      <c r="I66" s="49" t="str">
        <f>IFERROR(VLOOKUP(Tabla1[[#This Row],[RUTA]],Tabla2[[#All],[RUTA]:[CONDUCTOR]],4,0),"")</f>
        <v>BENDEZU</v>
      </c>
      <c r="J66" s="49" t="str">
        <f>IFERROR(VLOOKUP(Tabla1[[#This Row],[RUTA]],Tabla2[#All],5,0),"")</f>
        <v>JHON</v>
      </c>
      <c r="K66" s="50" t="s">
        <v>16</v>
      </c>
      <c r="L66" s="52"/>
      <c r="M66" s="53"/>
      <c r="N66" s="54" t="str">
        <f>IF(Tabla1[[#This Row],[ESTADO]]="ENTREGADO",IF(Tabla1[[#This Row],[OBSERVACIÓN]]="OK","SI","NO"),"")</f>
        <v/>
      </c>
    </row>
    <row r="67" spans="1:14" x14ac:dyDescent="0.2">
      <c r="A67" s="48">
        <v>45162</v>
      </c>
      <c r="B67" s="49" t="s">
        <v>156</v>
      </c>
      <c r="C67" s="49">
        <v>344</v>
      </c>
      <c r="D67" s="49">
        <v>5</v>
      </c>
      <c r="E67" s="49" t="str">
        <f>VLOOKUP(Tabla1[[#This Row],[ID TIENDA]],Guias[],2,0)</f>
        <v>T994-00164973</v>
      </c>
      <c r="F67" s="51">
        <v>1527.46</v>
      </c>
      <c r="G67" s="49" t="str">
        <f>IFERROR(VLOOKUP(Tabla1[[#This Row],[RUTA]],Tabla2[#All],3,0),"")</f>
        <v>PALOMINO</v>
      </c>
      <c r="H67" s="49" t="str">
        <f>IFERROR(VLOOKUP(Tabla1[[#This Row],[RUTA]],Tabla2[[#All],[RUTA]:[PLACAS]],2,0),"")</f>
        <v>BMT-901</v>
      </c>
      <c r="I67" s="49" t="str">
        <f>IFERROR(VLOOKUP(Tabla1[[#This Row],[RUTA]],Tabla2[[#All],[RUTA]:[CONDUCTOR]],4,0),"")</f>
        <v>BENDEZU</v>
      </c>
      <c r="J67" s="49" t="str">
        <f>IFERROR(VLOOKUP(Tabla1[[#This Row],[RUTA]],Tabla2[#All],5,0),"")</f>
        <v>JHON</v>
      </c>
      <c r="K67" s="50" t="s">
        <v>16</v>
      </c>
      <c r="L67" s="52"/>
      <c r="M67" s="53"/>
      <c r="N67" s="54" t="str">
        <f>IF(Tabla1[[#This Row],[ESTADO]]="ENTREGADO",IF(Tabla1[[#This Row],[OBSERVACIÓN]]="OK","SI","NO"),"")</f>
        <v/>
      </c>
    </row>
    <row r="68" spans="1:14" x14ac:dyDescent="0.2">
      <c r="A68" s="48">
        <v>45162</v>
      </c>
      <c r="B68" s="49" t="s">
        <v>157</v>
      </c>
      <c r="C68" s="49">
        <v>351</v>
      </c>
      <c r="D68" s="49">
        <v>5</v>
      </c>
      <c r="E68" s="49" t="str">
        <f>VLOOKUP(Tabla1[[#This Row],[ID TIENDA]],Guias[],2,0)</f>
        <v>T994-00164971</v>
      </c>
      <c r="F68" s="51">
        <v>1861.19</v>
      </c>
      <c r="G68" s="49" t="str">
        <f>IFERROR(VLOOKUP(Tabla1[[#This Row],[RUTA]],Tabla2[#All],3,0),"")</f>
        <v>PALOMINO</v>
      </c>
      <c r="H68" s="49" t="str">
        <f>IFERROR(VLOOKUP(Tabla1[[#This Row],[RUTA]],Tabla2[[#All],[RUTA]:[PLACAS]],2,0),"")</f>
        <v>BMT-901</v>
      </c>
      <c r="I68" s="49" t="str">
        <f>IFERROR(VLOOKUP(Tabla1[[#This Row],[RUTA]],Tabla2[[#All],[RUTA]:[CONDUCTOR]],4,0),"")</f>
        <v>BENDEZU</v>
      </c>
      <c r="J68" s="49" t="str">
        <f>IFERROR(VLOOKUP(Tabla1[[#This Row],[RUTA]],Tabla2[#All],5,0),"")</f>
        <v>JHON</v>
      </c>
      <c r="K68" s="50" t="s">
        <v>16</v>
      </c>
      <c r="L68" s="52"/>
      <c r="M68" s="53"/>
      <c r="N68" s="54" t="str">
        <f>IF(Tabla1[[#This Row],[ESTADO]]="ENTREGADO",IF(Tabla1[[#This Row],[OBSERVACIÓN]]="OK","SI","NO"),"")</f>
        <v/>
      </c>
    </row>
    <row r="69" spans="1:14" x14ac:dyDescent="0.2">
      <c r="A69" s="48">
        <v>45162</v>
      </c>
      <c r="B69" s="49" t="s">
        <v>52</v>
      </c>
      <c r="C69" s="49">
        <v>117</v>
      </c>
      <c r="D69" s="49">
        <v>5</v>
      </c>
      <c r="E69" s="49" t="str">
        <f>VLOOKUP(Tabla1[[#This Row],[ID TIENDA]],Guias[],2,0)</f>
        <v>T994-00165133</v>
      </c>
      <c r="F69" s="51">
        <v>6139.58</v>
      </c>
      <c r="G69" s="49" t="str">
        <f>IFERROR(VLOOKUP(Tabla1[[#This Row],[RUTA]],Tabla2[#All],3,0),"")</f>
        <v>PALOMINO</v>
      </c>
      <c r="H69" s="49" t="str">
        <f>IFERROR(VLOOKUP(Tabla1[[#This Row],[RUTA]],Tabla2[[#All],[RUTA]:[PLACAS]],2,0),"")</f>
        <v>BMT-901</v>
      </c>
      <c r="I69" s="49" t="str">
        <f>IFERROR(VLOOKUP(Tabla1[[#This Row],[RUTA]],Tabla2[[#All],[RUTA]:[CONDUCTOR]],4,0),"")</f>
        <v>BENDEZU</v>
      </c>
      <c r="J69" s="49" t="str">
        <f>IFERROR(VLOOKUP(Tabla1[[#This Row],[RUTA]],Tabla2[#All],5,0),"")</f>
        <v>JHON</v>
      </c>
      <c r="K69" s="50" t="s">
        <v>16</v>
      </c>
      <c r="L69" s="52"/>
      <c r="M69" s="53"/>
      <c r="N69" s="54" t="str">
        <f>IF(Tabla1[[#This Row],[ESTADO]]="ENTREGADO",IF(Tabla1[[#This Row],[OBSERVACIÓN]]="OK","SI","NO"),"")</f>
        <v/>
      </c>
    </row>
    <row r="70" spans="1:14" x14ac:dyDescent="0.2">
      <c r="A70" s="48">
        <v>45162</v>
      </c>
      <c r="B70" s="49" t="s">
        <v>158</v>
      </c>
      <c r="C70" s="49">
        <v>355</v>
      </c>
      <c r="D70" s="49">
        <v>5</v>
      </c>
      <c r="E70" s="49" t="str">
        <f>VLOOKUP(Tabla1[[#This Row],[ID TIENDA]],Guias[],2,0)</f>
        <v>T994-00165013</v>
      </c>
      <c r="F70" s="51">
        <v>2605.09</v>
      </c>
      <c r="G70" s="49" t="str">
        <f>IFERROR(VLOOKUP(Tabla1[[#This Row],[RUTA]],Tabla2[#All],3,0),"")</f>
        <v>PALOMINO</v>
      </c>
      <c r="H70" s="49" t="str">
        <f>IFERROR(VLOOKUP(Tabla1[[#This Row],[RUTA]],Tabla2[[#All],[RUTA]:[PLACAS]],2,0),"")</f>
        <v>BMT-901</v>
      </c>
      <c r="I70" s="49" t="str">
        <f>IFERROR(VLOOKUP(Tabla1[[#This Row],[RUTA]],Tabla2[[#All],[RUTA]:[CONDUCTOR]],4,0),"")</f>
        <v>BENDEZU</v>
      </c>
      <c r="J70" s="49" t="str">
        <f>IFERROR(VLOOKUP(Tabla1[[#This Row],[RUTA]],Tabla2[#All],5,0),"")</f>
        <v>JHON</v>
      </c>
      <c r="K70" s="50" t="s">
        <v>16</v>
      </c>
      <c r="L70" s="52"/>
      <c r="M70" s="53"/>
      <c r="N70" s="54" t="str">
        <f>IF(Tabla1[[#This Row],[ESTADO]]="ENTREGADO",IF(Tabla1[[#This Row],[OBSERVACIÓN]]="OK","SI","NO"),"")</f>
        <v/>
      </c>
    </row>
    <row r="71" spans="1:14" x14ac:dyDescent="0.2">
      <c r="A71" s="48">
        <v>45162</v>
      </c>
      <c r="B71" s="49" t="s">
        <v>159</v>
      </c>
      <c r="C71" s="49">
        <v>499</v>
      </c>
      <c r="D71" s="49">
        <v>5</v>
      </c>
      <c r="E71" s="49" t="str">
        <f>VLOOKUP(Tabla1[[#This Row],[ID TIENDA]],Guias[],2,0)</f>
        <v>T994-00165094</v>
      </c>
      <c r="F71" s="51">
        <v>1675.42</v>
      </c>
      <c r="G71" s="49" t="str">
        <f>IFERROR(VLOOKUP(Tabla1[[#This Row],[RUTA]],Tabla2[#All],3,0),"")</f>
        <v>PALOMINO</v>
      </c>
      <c r="H71" s="49" t="str">
        <f>IFERROR(VLOOKUP(Tabla1[[#This Row],[RUTA]],Tabla2[[#All],[RUTA]:[PLACAS]],2,0),"")</f>
        <v>BMT-901</v>
      </c>
      <c r="I71" s="49" t="str">
        <f>IFERROR(VLOOKUP(Tabla1[[#This Row],[RUTA]],Tabla2[[#All],[RUTA]:[CONDUCTOR]],4,0),"")</f>
        <v>BENDEZU</v>
      </c>
      <c r="J71" s="49" t="str">
        <f>IFERROR(VLOOKUP(Tabla1[[#This Row],[RUTA]],Tabla2[#All],5,0),"")</f>
        <v>JHON</v>
      </c>
      <c r="K71" s="50" t="s">
        <v>16</v>
      </c>
      <c r="L71" s="52"/>
      <c r="M71" s="53"/>
      <c r="N71" s="54" t="str">
        <f>IF(Tabla1[[#This Row],[ESTADO]]="ENTREGADO",IF(Tabla1[[#This Row],[OBSERVACIÓN]]="OK","SI","NO"),"")</f>
        <v/>
      </c>
    </row>
    <row r="72" spans="1:14" x14ac:dyDescent="0.2">
      <c r="A72" s="48">
        <v>45162</v>
      </c>
      <c r="B72" s="49" t="s">
        <v>53</v>
      </c>
      <c r="C72" s="49">
        <v>273</v>
      </c>
      <c r="D72" s="49">
        <v>5</v>
      </c>
      <c r="E72" s="49" t="str">
        <f>VLOOKUP(Tabla1[[#This Row],[ID TIENDA]],Guias[],2,0)</f>
        <v>T994-00165113</v>
      </c>
      <c r="F72" s="51">
        <v>5286.86</v>
      </c>
      <c r="G72" s="49" t="str">
        <f>IFERROR(VLOOKUP(Tabla1[[#This Row],[RUTA]],Tabla2[#All],3,0),"")</f>
        <v>PALOMINO</v>
      </c>
      <c r="H72" s="49" t="str">
        <f>IFERROR(VLOOKUP(Tabla1[[#This Row],[RUTA]],Tabla2[[#All],[RUTA]:[PLACAS]],2,0),"")</f>
        <v>BMT-901</v>
      </c>
      <c r="I72" s="49" t="str">
        <f>IFERROR(VLOOKUP(Tabla1[[#This Row],[RUTA]],Tabla2[[#All],[RUTA]:[CONDUCTOR]],4,0),"")</f>
        <v>BENDEZU</v>
      </c>
      <c r="J72" s="49" t="str">
        <f>IFERROR(VLOOKUP(Tabla1[[#This Row],[RUTA]],Tabla2[#All],5,0),"")</f>
        <v>JHON</v>
      </c>
      <c r="K72" s="50" t="s">
        <v>16</v>
      </c>
      <c r="L72" s="52"/>
      <c r="M72" s="53"/>
      <c r="N72" s="54" t="str">
        <f>IF(Tabla1[[#This Row],[ESTADO]]="ENTREGADO",IF(Tabla1[[#This Row],[OBSERVACIÓN]]="OK","SI","NO"),"")</f>
        <v/>
      </c>
    </row>
    <row r="73" spans="1:14" x14ac:dyDescent="0.2">
      <c r="A73" s="48">
        <v>45162</v>
      </c>
      <c r="B73" s="49" t="s">
        <v>160</v>
      </c>
      <c r="C73" s="49">
        <v>206</v>
      </c>
      <c r="D73" s="49">
        <v>5</v>
      </c>
      <c r="E73" s="49" t="str">
        <f>VLOOKUP(Tabla1[[#This Row],[ID TIENDA]],Guias[],2,0)</f>
        <v>T994-00165046</v>
      </c>
      <c r="F73" s="51">
        <v>3949.32</v>
      </c>
      <c r="G73" s="49" t="str">
        <f>IFERROR(VLOOKUP(Tabla1[[#This Row],[RUTA]],Tabla2[#All],3,0),"")</f>
        <v>PALOMINO</v>
      </c>
      <c r="H73" s="49" t="str">
        <f>IFERROR(VLOOKUP(Tabla1[[#This Row],[RUTA]],Tabla2[[#All],[RUTA]:[PLACAS]],2,0),"")</f>
        <v>BMT-901</v>
      </c>
      <c r="I73" s="49" t="str">
        <f>IFERROR(VLOOKUP(Tabla1[[#This Row],[RUTA]],Tabla2[[#All],[RUTA]:[CONDUCTOR]],4,0),"")</f>
        <v>BENDEZU</v>
      </c>
      <c r="J73" s="49" t="str">
        <f>IFERROR(VLOOKUP(Tabla1[[#This Row],[RUTA]],Tabla2[#All],5,0),"")</f>
        <v>JHON</v>
      </c>
      <c r="K73" s="50" t="s">
        <v>16</v>
      </c>
      <c r="L73" s="52"/>
      <c r="M73" s="53"/>
      <c r="N73" s="54" t="str">
        <f>IF(Tabla1[[#This Row],[ESTADO]]="ENTREGADO",IF(Tabla1[[#This Row],[OBSERVACIÓN]]="OK","SI","NO"),"")</f>
        <v/>
      </c>
    </row>
    <row r="74" spans="1:14" x14ac:dyDescent="0.2">
      <c r="A74" s="48">
        <v>45162</v>
      </c>
      <c r="B74" s="49" t="s">
        <v>161</v>
      </c>
      <c r="C74" s="49">
        <v>425</v>
      </c>
      <c r="D74" s="49">
        <v>6</v>
      </c>
      <c r="E74" s="49" t="str">
        <f>VLOOKUP(Tabla1[[#This Row],[ID TIENDA]],Guias[],2,0)</f>
        <v>T994-00165064</v>
      </c>
      <c r="F74" s="51">
        <v>1503.31</v>
      </c>
      <c r="G74" s="49" t="str">
        <f>IFERROR(VLOOKUP(Tabla1[[#This Row],[RUTA]],Tabla2[#All],3,0),"")</f>
        <v>CANCHARI</v>
      </c>
      <c r="H74" s="49" t="str">
        <f>IFERROR(VLOOKUP(Tabla1[[#This Row],[RUTA]],Tabla2[[#All],[RUTA]:[PLACAS]],2,0),"")</f>
        <v>BFO-720</v>
      </c>
      <c r="I74" s="49" t="str">
        <f>IFERROR(VLOOKUP(Tabla1[[#This Row],[RUTA]],Tabla2[[#All],[RUTA]:[CONDUCTOR]],4,0),"")</f>
        <v>CANCHARI</v>
      </c>
      <c r="J74" s="49" t="str">
        <f>IFERROR(VLOOKUP(Tabla1[[#This Row],[RUTA]],Tabla2[#All],5,0),"")</f>
        <v>ANTONI</v>
      </c>
      <c r="K74" s="50" t="s">
        <v>16</v>
      </c>
      <c r="L74" s="52"/>
      <c r="M74" s="53"/>
      <c r="N74" s="54" t="str">
        <f>IF(Tabla1[[#This Row],[ESTADO]]="ENTREGADO",IF(Tabla1[[#This Row],[OBSERVACIÓN]]="OK","SI","NO"),"")</f>
        <v/>
      </c>
    </row>
    <row r="75" spans="1:14" x14ac:dyDescent="0.2">
      <c r="A75" s="48">
        <v>45162</v>
      </c>
      <c r="B75" s="49" t="s">
        <v>162</v>
      </c>
      <c r="C75" s="49">
        <v>353</v>
      </c>
      <c r="D75" s="49">
        <v>6</v>
      </c>
      <c r="E75" s="49" t="str">
        <f>VLOOKUP(Tabla1[[#This Row],[ID TIENDA]],Guias[],2,0)</f>
        <v>T994-00164988</v>
      </c>
      <c r="F75" s="51">
        <v>2246.27</v>
      </c>
      <c r="G75" s="49" t="str">
        <f>IFERROR(VLOOKUP(Tabla1[[#This Row],[RUTA]],Tabla2[#All],3,0),"")</f>
        <v>CANCHARI</v>
      </c>
      <c r="H75" s="49" t="str">
        <f>IFERROR(VLOOKUP(Tabla1[[#This Row],[RUTA]],Tabla2[[#All],[RUTA]:[PLACAS]],2,0),"")</f>
        <v>BFO-720</v>
      </c>
      <c r="I75" s="49" t="str">
        <f>IFERROR(VLOOKUP(Tabla1[[#This Row],[RUTA]],Tabla2[[#All],[RUTA]:[CONDUCTOR]],4,0),"")</f>
        <v>CANCHARI</v>
      </c>
      <c r="J75" s="49" t="str">
        <f>IFERROR(VLOOKUP(Tabla1[[#This Row],[RUTA]],Tabla2[#All],5,0),"")</f>
        <v>ANTONI</v>
      </c>
      <c r="K75" s="50" t="s">
        <v>16</v>
      </c>
      <c r="L75" s="52"/>
      <c r="M75" s="53"/>
      <c r="N75" s="54" t="str">
        <f>IF(Tabla1[[#This Row],[ESTADO]]="ENTREGADO",IF(Tabla1[[#This Row],[OBSERVACIÓN]]="OK","SI","NO"),"")</f>
        <v/>
      </c>
    </row>
    <row r="76" spans="1:14" x14ac:dyDescent="0.2">
      <c r="A76" s="48">
        <v>45162</v>
      </c>
      <c r="B76" s="49" t="s">
        <v>163</v>
      </c>
      <c r="C76" s="49">
        <v>203</v>
      </c>
      <c r="D76" s="49">
        <v>6</v>
      </c>
      <c r="E76" s="49" t="str">
        <f>VLOOKUP(Tabla1[[#This Row],[ID TIENDA]],Guias[],2,0)</f>
        <v>T994-00165071</v>
      </c>
      <c r="F76" s="51">
        <v>1675.51</v>
      </c>
      <c r="G76" s="49" t="str">
        <f>IFERROR(VLOOKUP(Tabla1[[#This Row],[RUTA]],Tabla2[#All],3,0),"")</f>
        <v>CANCHARI</v>
      </c>
      <c r="H76" s="49" t="str">
        <f>IFERROR(VLOOKUP(Tabla1[[#This Row],[RUTA]],Tabla2[[#All],[RUTA]:[PLACAS]],2,0),"")</f>
        <v>BFO-720</v>
      </c>
      <c r="I76" s="49" t="str">
        <f>IFERROR(VLOOKUP(Tabla1[[#This Row],[RUTA]],Tabla2[[#All],[RUTA]:[CONDUCTOR]],4,0),"")</f>
        <v>CANCHARI</v>
      </c>
      <c r="J76" s="49" t="str">
        <f>IFERROR(VLOOKUP(Tabla1[[#This Row],[RUTA]],Tabla2[#All],5,0),"")</f>
        <v>ANTONI</v>
      </c>
      <c r="K76" s="50" t="s">
        <v>16</v>
      </c>
      <c r="L76" s="52"/>
      <c r="M76" s="53"/>
      <c r="N76" s="54" t="str">
        <f>IF(Tabla1[[#This Row],[ESTADO]]="ENTREGADO",IF(Tabla1[[#This Row],[OBSERVACIÓN]]="OK","SI","NO"),"")</f>
        <v/>
      </c>
    </row>
    <row r="77" spans="1:14" x14ac:dyDescent="0.2">
      <c r="A77" s="48">
        <v>45162</v>
      </c>
      <c r="B77" s="49" t="s">
        <v>164</v>
      </c>
      <c r="C77" s="49">
        <v>474</v>
      </c>
      <c r="D77" s="49">
        <v>6</v>
      </c>
      <c r="E77" s="49" t="str">
        <f>VLOOKUP(Tabla1[[#This Row],[ID TIENDA]],Guias[],2,0)</f>
        <v>T994-00165006</v>
      </c>
      <c r="F77" s="51">
        <v>1603.56</v>
      </c>
      <c r="G77" s="49" t="str">
        <f>IFERROR(VLOOKUP(Tabla1[[#This Row],[RUTA]],Tabla2[#All],3,0),"")</f>
        <v>CANCHARI</v>
      </c>
      <c r="H77" s="49" t="str">
        <f>IFERROR(VLOOKUP(Tabla1[[#This Row],[RUTA]],Tabla2[[#All],[RUTA]:[PLACAS]],2,0),"")</f>
        <v>BFO-720</v>
      </c>
      <c r="I77" s="49" t="str">
        <f>IFERROR(VLOOKUP(Tabla1[[#This Row],[RUTA]],Tabla2[[#All],[RUTA]:[CONDUCTOR]],4,0),"")</f>
        <v>CANCHARI</v>
      </c>
      <c r="J77" s="49" t="str">
        <f>IFERROR(VLOOKUP(Tabla1[[#This Row],[RUTA]],Tabla2[#All],5,0),"")</f>
        <v>ANTONI</v>
      </c>
      <c r="K77" s="50" t="s">
        <v>16</v>
      </c>
      <c r="L77" s="52"/>
      <c r="M77" s="53"/>
      <c r="N77" s="54" t="str">
        <f>IF(Tabla1[[#This Row],[ESTADO]]="ENTREGADO",IF(Tabla1[[#This Row],[OBSERVACIÓN]]="OK","SI","NO"),"")</f>
        <v/>
      </c>
    </row>
    <row r="78" spans="1:14" x14ac:dyDescent="0.2">
      <c r="A78" s="48">
        <v>45162</v>
      </c>
      <c r="B78" s="49" t="s">
        <v>165</v>
      </c>
      <c r="C78" s="49">
        <v>321</v>
      </c>
      <c r="D78" s="49">
        <v>6</v>
      </c>
      <c r="E78" s="49" t="str">
        <f>VLOOKUP(Tabla1[[#This Row],[ID TIENDA]],Guias[],2,0)</f>
        <v>T994-00164982</v>
      </c>
      <c r="F78" s="51">
        <v>2486.5300000000002</v>
      </c>
      <c r="G78" s="49" t="str">
        <f>IFERROR(VLOOKUP(Tabla1[[#This Row],[RUTA]],Tabla2[#All],3,0),"")</f>
        <v>CANCHARI</v>
      </c>
      <c r="H78" s="49" t="str">
        <f>IFERROR(VLOOKUP(Tabla1[[#This Row],[RUTA]],Tabla2[[#All],[RUTA]:[PLACAS]],2,0),"")</f>
        <v>BFO-720</v>
      </c>
      <c r="I78" s="49" t="str">
        <f>IFERROR(VLOOKUP(Tabla1[[#This Row],[RUTA]],Tabla2[[#All],[RUTA]:[CONDUCTOR]],4,0),"")</f>
        <v>CANCHARI</v>
      </c>
      <c r="J78" s="49" t="str">
        <f>IFERROR(VLOOKUP(Tabla1[[#This Row],[RUTA]],Tabla2[#All],5,0),"")</f>
        <v>ANTONI</v>
      </c>
      <c r="K78" s="50" t="s">
        <v>16</v>
      </c>
      <c r="L78" s="52"/>
      <c r="M78" s="53"/>
      <c r="N78" s="54" t="str">
        <f>IF(Tabla1[[#This Row],[ESTADO]]="ENTREGADO",IF(Tabla1[[#This Row],[OBSERVACIÓN]]="OK","SI","NO"),"")</f>
        <v/>
      </c>
    </row>
    <row r="79" spans="1:14" x14ac:dyDescent="0.2">
      <c r="A79" s="48">
        <v>45162</v>
      </c>
      <c r="B79" s="49" t="s">
        <v>166</v>
      </c>
      <c r="C79" s="49">
        <v>71</v>
      </c>
      <c r="D79" s="49">
        <v>6</v>
      </c>
      <c r="E79" s="49" t="str">
        <f>VLOOKUP(Tabla1[[#This Row],[ID TIENDA]],Guias[],2,0)</f>
        <v>T994-00165115</v>
      </c>
      <c r="F79" s="51">
        <v>2149.15</v>
      </c>
      <c r="G79" s="49" t="str">
        <f>IFERROR(VLOOKUP(Tabla1[[#This Row],[RUTA]],Tabla2[#All],3,0),"")</f>
        <v>CANCHARI</v>
      </c>
      <c r="H79" s="49" t="str">
        <f>IFERROR(VLOOKUP(Tabla1[[#This Row],[RUTA]],Tabla2[[#All],[RUTA]:[PLACAS]],2,0),"")</f>
        <v>BFO-720</v>
      </c>
      <c r="I79" s="49" t="str">
        <f>IFERROR(VLOOKUP(Tabla1[[#This Row],[RUTA]],Tabla2[[#All],[RUTA]:[CONDUCTOR]],4,0),"")</f>
        <v>CANCHARI</v>
      </c>
      <c r="J79" s="49" t="str">
        <f>IFERROR(VLOOKUP(Tabla1[[#This Row],[RUTA]],Tabla2[#All],5,0),"")</f>
        <v>ANTONI</v>
      </c>
      <c r="K79" s="50" t="s">
        <v>16</v>
      </c>
      <c r="L79" s="52"/>
      <c r="M79" s="53"/>
      <c r="N79" s="54" t="str">
        <f>IF(Tabla1[[#This Row],[ESTADO]]="ENTREGADO",IF(Tabla1[[#This Row],[OBSERVACIÓN]]="OK","SI","NO"),"")</f>
        <v/>
      </c>
    </row>
    <row r="80" spans="1:14" x14ac:dyDescent="0.2">
      <c r="A80" s="48">
        <v>45162</v>
      </c>
      <c r="B80" s="49" t="s">
        <v>167</v>
      </c>
      <c r="C80" s="49">
        <v>357</v>
      </c>
      <c r="D80" s="49">
        <v>6</v>
      </c>
      <c r="E80" s="49" t="str">
        <f>VLOOKUP(Tabla1[[#This Row],[ID TIENDA]],Guias[],2,0)</f>
        <v>T994-00165160</v>
      </c>
      <c r="F80" s="51">
        <v>1436.19</v>
      </c>
      <c r="G80" s="49" t="str">
        <f>IFERROR(VLOOKUP(Tabla1[[#This Row],[RUTA]],Tabla2[#All],3,0),"")</f>
        <v>CANCHARI</v>
      </c>
      <c r="H80" s="49" t="str">
        <f>IFERROR(VLOOKUP(Tabla1[[#This Row],[RUTA]],Tabla2[[#All],[RUTA]:[PLACAS]],2,0),"")</f>
        <v>BFO-720</v>
      </c>
      <c r="I80" s="49" t="str">
        <f>IFERROR(VLOOKUP(Tabla1[[#This Row],[RUTA]],Tabla2[[#All],[RUTA]:[CONDUCTOR]],4,0),"")</f>
        <v>CANCHARI</v>
      </c>
      <c r="J80" s="49" t="str">
        <f>IFERROR(VLOOKUP(Tabla1[[#This Row],[RUTA]],Tabla2[#All],5,0),"")</f>
        <v>ANTONI</v>
      </c>
      <c r="K80" s="50" t="s">
        <v>16</v>
      </c>
      <c r="L80" s="52"/>
      <c r="M80" s="53"/>
      <c r="N80" s="54" t="str">
        <f>IF(Tabla1[[#This Row],[ESTADO]]="ENTREGADO",IF(Tabla1[[#This Row],[OBSERVACIÓN]]="OK","SI","NO"),"")</f>
        <v/>
      </c>
    </row>
    <row r="81" spans="1:14" x14ac:dyDescent="0.2">
      <c r="A81" s="48">
        <v>45162</v>
      </c>
      <c r="B81" s="49" t="s">
        <v>168</v>
      </c>
      <c r="C81" s="49">
        <v>238</v>
      </c>
      <c r="D81" s="49">
        <v>6</v>
      </c>
      <c r="E81" s="49" t="str">
        <f>VLOOKUP(Tabla1[[#This Row],[ID TIENDA]],Guias[],2,0)</f>
        <v>9994-0023845162TCG</v>
      </c>
      <c r="F81" s="51">
        <v>1771.78</v>
      </c>
      <c r="G81" s="49" t="str">
        <f>IFERROR(VLOOKUP(Tabla1[[#This Row],[RUTA]],Tabla2[#All],3,0),"")</f>
        <v>CANCHARI</v>
      </c>
      <c r="H81" s="49" t="str">
        <f>IFERROR(VLOOKUP(Tabla1[[#This Row],[RUTA]],Tabla2[[#All],[RUTA]:[PLACAS]],2,0),"")</f>
        <v>BFO-720</v>
      </c>
      <c r="I81" s="49" t="str">
        <f>IFERROR(VLOOKUP(Tabla1[[#This Row],[RUTA]],Tabla2[[#All],[RUTA]:[CONDUCTOR]],4,0),"")</f>
        <v>CANCHARI</v>
      </c>
      <c r="J81" s="49" t="str">
        <f>IFERROR(VLOOKUP(Tabla1[[#This Row],[RUTA]],Tabla2[#All],5,0),"")</f>
        <v>ANTONI</v>
      </c>
      <c r="K81" s="50" t="s">
        <v>16</v>
      </c>
      <c r="L81" s="52"/>
      <c r="M81" s="53"/>
      <c r="N81" s="54" t="str">
        <f>IF(Tabla1[[#This Row],[ESTADO]]="ENTREGADO",IF(Tabla1[[#This Row],[OBSERVACIÓN]]="OK","SI","NO"),"")</f>
        <v/>
      </c>
    </row>
    <row r="82" spans="1:14" x14ac:dyDescent="0.2">
      <c r="A82" s="48">
        <v>45162</v>
      </c>
      <c r="B82" s="49" t="s">
        <v>169</v>
      </c>
      <c r="C82" s="49">
        <v>366</v>
      </c>
      <c r="D82" s="49">
        <v>6</v>
      </c>
      <c r="E82" s="49" t="str">
        <f>VLOOKUP(Tabla1[[#This Row],[ID TIENDA]],Guias[],2,0)</f>
        <v>9994-0036645162TCG</v>
      </c>
      <c r="F82" s="51">
        <v>2057.46</v>
      </c>
      <c r="G82" s="49" t="str">
        <f>IFERROR(VLOOKUP(Tabla1[[#This Row],[RUTA]],Tabla2[#All],3,0),"")</f>
        <v>CANCHARI</v>
      </c>
      <c r="H82" s="49" t="str">
        <f>IFERROR(VLOOKUP(Tabla1[[#This Row],[RUTA]],Tabla2[[#All],[RUTA]:[PLACAS]],2,0),"")</f>
        <v>BFO-720</v>
      </c>
      <c r="I82" s="49" t="str">
        <f>IFERROR(VLOOKUP(Tabla1[[#This Row],[RUTA]],Tabla2[[#All],[RUTA]:[CONDUCTOR]],4,0),"")</f>
        <v>CANCHARI</v>
      </c>
      <c r="J82" s="49" t="str">
        <f>IFERROR(VLOOKUP(Tabla1[[#This Row],[RUTA]],Tabla2[#All],5,0),"")</f>
        <v>ANTONI</v>
      </c>
      <c r="K82" s="50" t="s">
        <v>16</v>
      </c>
      <c r="L82" s="52"/>
      <c r="M82" s="53"/>
      <c r="N82" s="54" t="str">
        <f>IF(Tabla1[[#This Row],[ESTADO]]="ENTREGADO",IF(Tabla1[[#This Row],[OBSERVACIÓN]]="OK","SI","NO"),"")</f>
        <v/>
      </c>
    </row>
    <row r="83" spans="1:14" x14ac:dyDescent="0.2">
      <c r="A83" s="48">
        <v>45162</v>
      </c>
      <c r="B83" s="49" t="s">
        <v>170</v>
      </c>
      <c r="C83" s="49">
        <v>15</v>
      </c>
      <c r="D83" s="49">
        <v>6</v>
      </c>
      <c r="E83" s="49" t="str">
        <f>VLOOKUP(Tabla1[[#This Row],[ID TIENDA]],Guias[],2,0)</f>
        <v>T994-00165010</v>
      </c>
      <c r="F83" s="51">
        <v>1432.2</v>
      </c>
      <c r="G83" s="49" t="str">
        <f>IFERROR(VLOOKUP(Tabla1[[#This Row],[RUTA]],Tabla2[#All],3,0),"")</f>
        <v>CANCHARI</v>
      </c>
      <c r="H83" s="49" t="str">
        <f>IFERROR(VLOOKUP(Tabla1[[#This Row],[RUTA]],Tabla2[[#All],[RUTA]:[PLACAS]],2,0),"")</f>
        <v>BFO-720</v>
      </c>
      <c r="I83" s="49" t="str">
        <f>IFERROR(VLOOKUP(Tabla1[[#This Row],[RUTA]],Tabla2[[#All],[RUTA]:[CONDUCTOR]],4,0),"")</f>
        <v>CANCHARI</v>
      </c>
      <c r="J83" s="49" t="str">
        <f>IFERROR(VLOOKUP(Tabla1[[#This Row],[RUTA]],Tabla2[#All],5,0),"")</f>
        <v>ANTONI</v>
      </c>
      <c r="K83" s="50" t="s">
        <v>16</v>
      </c>
      <c r="L83" s="52"/>
      <c r="M83" s="53"/>
      <c r="N83" s="54" t="str">
        <f>IF(Tabla1[[#This Row],[ESTADO]]="ENTREGADO",IF(Tabla1[[#This Row],[OBSERVACIÓN]]="OK","SI","NO"),"")</f>
        <v/>
      </c>
    </row>
    <row r="84" spans="1:14" x14ac:dyDescent="0.2">
      <c r="A84" s="48">
        <v>45162</v>
      </c>
      <c r="B84" s="49" t="s">
        <v>171</v>
      </c>
      <c r="C84" s="49">
        <v>50</v>
      </c>
      <c r="D84" s="49">
        <v>6</v>
      </c>
      <c r="E84" s="49" t="str">
        <f>VLOOKUP(Tabla1[[#This Row],[ID TIENDA]],Guias[],2,0)</f>
        <v>T994-00165156</v>
      </c>
      <c r="F84" s="51">
        <v>2996.19</v>
      </c>
      <c r="G84" s="49" t="str">
        <f>IFERROR(VLOOKUP(Tabla1[[#This Row],[RUTA]],Tabla2[#All],3,0),"")</f>
        <v>CANCHARI</v>
      </c>
      <c r="H84" s="49" t="str">
        <f>IFERROR(VLOOKUP(Tabla1[[#This Row],[RUTA]],Tabla2[[#All],[RUTA]:[PLACAS]],2,0),"")</f>
        <v>BFO-720</v>
      </c>
      <c r="I84" s="49" t="str">
        <f>IFERROR(VLOOKUP(Tabla1[[#This Row],[RUTA]],Tabla2[[#All],[RUTA]:[CONDUCTOR]],4,0),"")</f>
        <v>CANCHARI</v>
      </c>
      <c r="J84" s="49" t="str">
        <f>IFERROR(VLOOKUP(Tabla1[[#This Row],[RUTA]],Tabla2[#All],5,0),"")</f>
        <v>ANTONI</v>
      </c>
      <c r="K84" s="50" t="s">
        <v>16</v>
      </c>
      <c r="L84" s="52"/>
      <c r="M84" s="53"/>
      <c r="N84" s="54" t="str">
        <f>IF(Tabla1[[#This Row],[ESTADO]]="ENTREGADO",IF(Tabla1[[#This Row],[OBSERVACIÓN]]="OK","SI","NO"),"")</f>
        <v/>
      </c>
    </row>
    <row r="85" spans="1:14" x14ac:dyDescent="0.2">
      <c r="A85" s="48">
        <v>45162</v>
      </c>
      <c r="B85" s="49" t="s">
        <v>172</v>
      </c>
      <c r="C85" s="49">
        <v>378</v>
      </c>
      <c r="D85" s="49">
        <v>6</v>
      </c>
      <c r="E85" s="49" t="str">
        <f>VLOOKUP(Tabla1[[#This Row],[ID TIENDA]],Guias[],2,0)</f>
        <v>T994-00165107</v>
      </c>
      <c r="F85" s="51">
        <v>2170.42</v>
      </c>
      <c r="G85" s="49" t="str">
        <f>IFERROR(VLOOKUP(Tabla1[[#This Row],[RUTA]],Tabla2[#All],3,0),"")</f>
        <v>CANCHARI</v>
      </c>
      <c r="H85" s="49" t="str">
        <f>IFERROR(VLOOKUP(Tabla1[[#This Row],[RUTA]],Tabla2[[#All],[RUTA]:[PLACAS]],2,0),"")</f>
        <v>BFO-720</v>
      </c>
      <c r="I85" s="49" t="str">
        <f>IFERROR(VLOOKUP(Tabla1[[#This Row],[RUTA]],Tabla2[[#All],[RUTA]:[CONDUCTOR]],4,0),"")</f>
        <v>CANCHARI</v>
      </c>
      <c r="J85" s="49" t="str">
        <f>IFERROR(VLOOKUP(Tabla1[[#This Row],[RUTA]],Tabla2[#All],5,0),"")</f>
        <v>ANTONI</v>
      </c>
      <c r="K85" s="50" t="s">
        <v>16</v>
      </c>
      <c r="L85" s="52"/>
      <c r="M85" s="53"/>
      <c r="N85" s="54" t="str">
        <f>IF(Tabla1[[#This Row],[ESTADO]]="ENTREGADO",IF(Tabla1[[#This Row],[OBSERVACIÓN]]="OK","SI","NO"),"")</f>
        <v/>
      </c>
    </row>
    <row r="86" spans="1:14" x14ac:dyDescent="0.2">
      <c r="A86" s="48">
        <v>45162</v>
      </c>
      <c r="B86" s="49" t="s">
        <v>173</v>
      </c>
      <c r="C86" s="49">
        <v>375</v>
      </c>
      <c r="D86" s="49">
        <v>7</v>
      </c>
      <c r="E86" s="49" t="str">
        <f>VLOOKUP(Tabla1[[#This Row],[ID TIENDA]],Guias[],2,0)</f>
        <v>T994-00165166</v>
      </c>
      <c r="F86" s="51">
        <v>3091.1</v>
      </c>
      <c r="G86" s="49" t="str">
        <f>IFERROR(VLOOKUP(Tabla1[[#This Row],[RUTA]],Tabla2[#All],3,0),"")</f>
        <v>PALOMINO</v>
      </c>
      <c r="H86" s="49" t="str">
        <f>IFERROR(VLOOKUP(Tabla1[[#This Row],[RUTA]],Tabla2[[#All],[RUTA]:[PLACAS]],2,0),"")</f>
        <v>BFK-806</v>
      </c>
      <c r="I86" s="49" t="str">
        <f>IFERROR(VLOOKUP(Tabla1[[#This Row],[RUTA]],Tabla2[[#All],[RUTA]:[CONDUCTOR]],4,0),"")</f>
        <v>LUIS</v>
      </c>
      <c r="J86" s="49" t="str">
        <f>IFERROR(VLOOKUP(Tabla1[[#This Row],[RUTA]],Tabla2[#All],5,0),"")</f>
        <v>JOSE</v>
      </c>
      <c r="K86" s="50" t="s">
        <v>16</v>
      </c>
      <c r="L86" s="52"/>
      <c r="M86" s="53"/>
      <c r="N86" s="54" t="str">
        <f>IF(Tabla1[[#This Row],[ESTADO]]="ENTREGADO",IF(Tabla1[[#This Row],[OBSERVACIÓN]]="OK","SI","NO"),"")</f>
        <v/>
      </c>
    </row>
    <row r="87" spans="1:14" x14ac:dyDescent="0.2">
      <c r="A87" s="48">
        <v>45162</v>
      </c>
      <c r="B87" s="49" t="s">
        <v>174</v>
      </c>
      <c r="C87" s="49">
        <v>525</v>
      </c>
      <c r="D87" s="49">
        <v>7</v>
      </c>
      <c r="E87" s="49" t="str">
        <f>VLOOKUP(Tabla1[[#This Row],[ID TIENDA]],Guias[],2,0)</f>
        <v>T994-00165026</v>
      </c>
      <c r="F87" s="51">
        <v>1846.44</v>
      </c>
      <c r="G87" s="49" t="str">
        <f>IFERROR(VLOOKUP(Tabla1[[#This Row],[RUTA]],Tabla2[#All],3,0),"")</f>
        <v>PALOMINO</v>
      </c>
      <c r="H87" s="49" t="str">
        <f>IFERROR(VLOOKUP(Tabla1[[#This Row],[RUTA]],Tabla2[[#All],[RUTA]:[PLACAS]],2,0),"")</f>
        <v>BFK-806</v>
      </c>
      <c r="I87" s="49" t="str">
        <f>IFERROR(VLOOKUP(Tabla1[[#This Row],[RUTA]],Tabla2[[#All],[RUTA]:[CONDUCTOR]],4,0),"")</f>
        <v>LUIS</v>
      </c>
      <c r="J87" s="49" t="str">
        <f>IFERROR(VLOOKUP(Tabla1[[#This Row],[RUTA]],Tabla2[#All],5,0),"")</f>
        <v>JOSE</v>
      </c>
      <c r="K87" s="50" t="s">
        <v>16</v>
      </c>
      <c r="L87" s="52"/>
      <c r="M87" s="53"/>
      <c r="N87" s="54" t="str">
        <f>IF(Tabla1[[#This Row],[ESTADO]]="ENTREGADO",IF(Tabla1[[#This Row],[OBSERVACIÓN]]="OK","SI","NO"),"")</f>
        <v/>
      </c>
    </row>
    <row r="88" spans="1:14" x14ac:dyDescent="0.2">
      <c r="A88" s="48">
        <v>45162</v>
      </c>
      <c r="B88" s="49" t="s">
        <v>175</v>
      </c>
      <c r="C88" s="49">
        <v>82</v>
      </c>
      <c r="D88" s="49">
        <v>7</v>
      </c>
      <c r="E88" s="49" t="str">
        <f>VLOOKUP(Tabla1[[#This Row],[ID TIENDA]],Guias[],2,0)</f>
        <v>T994-00165050</v>
      </c>
      <c r="F88" s="51">
        <v>3592.2</v>
      </c>
      <c r="G88" s="49" t="str">
        <f>IFERROR(VLOOKUP(Tabla1[[#This Row],[RUTA]],Tabla2[#All],3,0),"")</f>
        <v>PALOMINO</v>
      </c>
      <c r="H88" s="49" t="str">
        <f>IFERROR(VLOOKUP(Tabla1[[#This Row],[RUTA]],Tabla2[[#All],[RUTA]:[PLACAS]],2,0),"")</f>
        <v>BFK-806</v>
      </c>
      <c r="I88" s="49" t="str">
        <f>IFERROR(VLOOKUP(Tabla1[[#This Row],[RUTA]],Tabla2[[#All],[RUTA]:[CONDUCTOR]],4,0),"")</f>
        <v>LUIS</v>
      </c>
      <c r="J88" s="49" t="str">
        <f>IFERROR(VLOOKUP(Tabla1[[#This Row],[RUTA]],Tabla2[#All],5,0),"")</f>
        <v>JOSE</v>
      </c>
      <c r="K88" s="50" t="s">
        <v>16</v>
      </c>
      <c r="L88" s="52"/>
      <c r="M88" s="53"/>
      <c r="N88" s="54" t="str">
        <f>IF(Tabla1[[#This Row],[ESTADO]]="ENTREGADO",IF(Tabla1[[#This Row],[OBSERVACIÓN]]="OK","SI","NO"),"")</f>
        <v/>
      </c>
    </row>
    <row r="89" spans="1:14" x14ac:dyDescent="0.2">
      <c r="A89" s="48">
        <v>45162</v>
      </c>
      <c r="B89" s="49" t="s">
        <v>54</v>
      </c>
      <c r="C89" s="49">
        <v>390</v>
      </c>
      <c r="D89" s="49">
        <v>7</v>
      </c>
      <c r="E89" s="49" t="str">
        <f>VLOOKUP(Tabla1[[#This Row],[ID TIENDA]],Guias[],2,0)</f>
        <v>T994-00165154</v>
      </c>
      <c r="F89" s="51">
        <v>4185.17</v>
      </c>
      <c r="G89" s="49" t="str">
        <f>IFERROR(VLOOKUP(Tabla1[[#This Row],[RUTA]],Tabla2[#All],3,0),"")</f>
        <v>PALOMINO</v>
      </c>
      <c r="H89" s="49" t="str">
        <f>IFERROR(VLOOKUP(Tabla1[[#This Row],[RUTA]],Tabla2[[#All],[RUTA]:[PLACAS]],2,0),"")</f>
        <v>BFK-806</v>
      </c>
      <c r="I89" s="49" t="str">
        <f>IFERROR(VLOOKUP(Tabla1[[#This Row],[RUTA]],Tabla2[[#All],[RUTA]:[CONDUCTOR]],4,0),"")</f>
        <v>LUIS</v>
      </c>
      <c r="J89" s="49" t="str">
        <f>IFERROR(VLOOKUP(Tabla1[[#This Row],[RUTA]],Tabla2[#All],5,0),"")</f>
        <v>JOSE</v>
      </c>
      <c r="K89" s="50" t="s">
        <v>16</v>
      </c>
      <c r="L89" s="52"/>
      <c r="M89" s="53"/>
      <c r="N89" s="54" t="str">
        <f>IF(Tabla1[[#This Row],[ESTADO]]="ENTREGADO",IF(Tabla1[[#This Row],[OBSERVACIÓN]]="OK","SI","NO"),"")</f>
        <v/>
      </c>
    </row>
    <row r="90" spans="1:14" x14ac:dyDescent="0.2">
      <c r="A90" s="48">
        <v>45162</v>
      </c>
      <c r="B90" s="49" t="s">
        <v>176</v>
      </c>
      <c r="C90" s="49">
        <v>169</v>
      </c>
      <c r="D90" s="49">
        <v>7</v>
      </c>
      <c r="E90" s="49" t="str">
        <f>VLOOKUP(Tabla1[[#This Row],[ID TIENDA]],Guias[],2,0)</f>
        <v>T994-00165143</v>
      </c>
      <c r="F90" s="51">
        <v>2026.27</v>
      </c>
      <c r="G90" s="49" t="str">
        <f>IFERROR(VLOOKUP(Tabla1[[#This Row],[RUTA]],Tabla2[#All],3,0),"")</f>
        <v>PALOMINO</v>
      </c>
      <c r="H90" s="49" t="str">
        <f>IFERROR(VLOOKUP(Tabla1[[#This Row],[RUTA]],Tabla2[[#All],[RUTA]:[PLACAS]],2,0),"")</f>
        <v>BFK-806</v>
      </c>
      <c r="I90" s="49" t="str">
        <f>IFERROR(VLOOKUP(Tabla1[[#This Row],[RUTA]],Tabla2[[#All],[RUTA]:[CONDUCTOR]],4,0),"")</f>
        <v>LUIS</v>
      </c>
      <c r="J90" s="49" t="str">
        <f>IFERROR(VLOOKUP(Tabla1[[#This Row],[RUTA]],Tabla2[#All],5,0),"")</f>
        <v>JOSE</v>
      </c>
      <c r="K90" s="50" t="s">
        <v>16</v>
      </c>
      <c r="L90" s="52"/>
      <c r="M90" s="53"/>
      <c r="N90" s="54" t="str">
        <f>IF(Tabla1[[#This Row],[ESTADO]]="ENTREGADO",IF(Tabla1[[#This Row],[OBSERVACIÓN]]="OK","SI","NO"),"")</f>
        <v/>
      </c>
    </row>
    <row r="91" spans="1:14" x14ac:dyDescent="0.2">
      <c r="A91" s="48">
        <v>45162</v>
      </c>
      <c r="B91" s="49" t="s">
        <v>177</v>
      </c>
      <c r="C91" s="49">
        <v>377</v>
      </c>
      <c r="D91" s="49">
        <v>7</v>
      </c>
      <c r="E91" s="49" t="str">
        <f>VLOOKUP(Tabla1[[#This Row],[ID TIENDA]],Guias[],2,0)</f>
        <v>T994-00165062</v>
      </c>
      <c r="F91" s="51">
        <v>1176.02</v>
      </c>
      <c r="G91" s="49" t="str">
        <f>IFERROR(VLOOKUP(Tabla1[[#This Row],[RUTA]],Tabla2[#All],3,0),"")</f>
        <v>PALOMINO</v>
      </c>
      <c r="H91" s="49" t="str">
        <f>IFERROR(VLOOKUP(Tabla1[[#This Row],[RUTA]],Tabla2[[#All],[RUTA]:[PLACAS]],2,0),"")</f>
        <v>BFK-806</v>
      </c>
      <c r="I91" s="49" t="str">
        <f>IFERROR(VLOOKUP(Tabla1[[#This Row],[RUTA]],Tabla2[[#All],[RUTA]:[CONDUCTOR]],4,0),"")</f>
        <v>LUIS</v>
      </c>
      <c r="J91" s="49" t="str">
        <f>IFERROR(VLOOKUP(Tabla1[[#This Row],[RUTA]],Tabla2[#All],5,0),"")</f>
        <v>JOSE</v>
      </c>
      <c r="K91" s="50" t="s">
        <v>16</v>
      </c>
      <c r="L91" s="52"/>
      <c r="M91" s="53"/>
      <c r="N91" s="54" t="str">
        <f>IF(Tabla1[[#This Row],[ESTADO]]="ENTREGADO",IF(Tabla1[[#This Row],[OBSERVACIÓN]]="OK","SI","NO"),"")</f>
        <v/>
      </c>
    </row>
    <row r="92" spans="1:14" x14ac:dyDescent="0.2">
      <c r="A92" s="48">
        <v>45162</v>
      </c>
      <c r="B92" s="49" t="s">
        <v>178</v>
      </c>
      <c r="C92" s="49">
        <v>143</v>
      </c>
      <c r="D92" s="49">
        <v>7</v>
      </c>
      <c r="E92" s="49" t="str">
        <f>VLOOKUP(Tabla1[[#This Row],[ID TIENDA]],Guias[],2,0)</f>
        <v>T994-00165157</v>
      </c>
      <c r="F92" s="51">
        <v>1769.07</v>
      </c>
      <c r="G92" s="49" t="str">
        <f>IFERROR(VLOOKUP(Tabla1[[#This Row],[RUTA]],Tabla2[#All],3,0),"")</f>
        <v>PALOMINO</v>
      </c>
      <c r="H92" s="49" t="str">
        <f>IFERROR(VLOOKUP(Tabla1[[#This Row],[RUTA]],Tabla2[[#All],[RUTA]:[PLACAS]],2,0),"")</f>
        <v>BFK-806</v>
      </c>
      <c r="I92" s="49" t="str">
        <f>IFERROR(VLOOKUP(Tabla1[[#This Row],[RUTA]],Tabla2[[#All],[RUTA]:[CONDUCTOR]],4,0),"")</f>
        <v>LUIS</v>
      </c>
      <c r="J92" s="49" t="str">
        <f>IFERROR(VLOOKUP(Tabla1[[#This Row],[RUTA]],Tabla2[#All],5,0),"")</f>
        <v>JOSE</v>
      </c>
      <c r="K92" s="50" t="s">
        <v>16</v>
      </c>
      <c r="L92" s="52"/>
      <c r="M92" s="53"/>
      <c r="N92" s="54" t="str">
        <f>IF(Tabla1[[#This Row],[ESTADO]]="ENTREGADO",IF(Tabla1[[#This Row],[OBSERVACIÓN]]="OK","SI","NO"),"")</f>
        <v/>
      </c>
    </row>
    <row r="93" spans="1:14" x14ac:dyDescent="0.2">
      <c r="A93" s="48">
        <v>45162</v>
      </c>
      <c r="B93" s="49" t="s">
        <v>179</v>
      </c>
      <c r="C93" s="49">
        <v>96</v>
      </c>
      <c r="D93" s="49">
        <v>7</v>
      </c>
      <c r="E93" s="49" t="str">
        <f>VLOOKUP(Tabla1[[#This Row],[ID TIENDA]],Guias[],2,0)</f>
        <v>T994-00165055</v>
      </c>
      <c r="F93" s="51">
        <v>2618.2199999999998</v>
      </c>
      <c r="G93" s="49" t="str">
        <f>IFERROR(VLOOKUP(Tabla1[[#This Row],[RUTA]],Tabla2[#All],3,0),"")</f>
        <v>PALOMINO</v>
      </c>
      <c r="H93" s="49" t="str">
        <f>IFERROR(VLOOKUP(Tabla1[[#This Row],[RUTA]],Tabla2[[#All],[RUTA]:[PLACAS]],2,0),"")</f>
        <v>BFK-806</v>
      </c>
      <c r="I93" s="49" t="str">
        <f>IFERROR(VLOOKUP(Tabla1[[#This Row],[RUTA]],Tabla2[[#All],[RUTA]:[CONDUCTOR]],4,0),"")</f>
        <v>LUIS</v>
      </c>
      <c r="J93" s="49" t="str">
        <f>IFERROR(VLOOKUP(Tabla1[[#This Row],[RUTA]],Tabla2[#All],5,0),"")</f>
        <v>JOSE</v>
      </c>
      <c r="K93" s="50" t="s">
        <v>16</v>
      </c>
      <c r="L93" s="52"/>
      <c r="M93" s="53"/>
      <c r="N93" s="54" t="str">
        <f>IF(Tabla1[[#This Row],[ESTADO]]="ENTREGADO",IF(Tabla1[[#This Row],[OBSERVACIÓN]]="OK","SI","NO"),"")</f>
        <v/>
      </c>
    </row>
    <row r="94" spans="1:14" x14ac:dyDescent="0.2">
      <c r="A94" s="48">
        <v>45162</v>
      </c>
      <c r="B94" s="49" t="s">
        <v>55</v>
      </c>
      <c r="C94" s="49">
        <v>119</v>
      </c>
      <c r="D94" s="49">
        <v>7</v>
      </c>
      <c r="E94" s="49" t="str">
        <f>VLOOKUP(Tabla1[[#This Row],[ID TIENDA]],Guias[],2,0)</f>
        <v>T994-00165097</v>
      </c>
      <c r="F94" s="51">
        <v>3112.37</v>
      </c>
      <c r="G94" s="49" t="str">
        <f>IFERROR(VLOOKUP(Tabla1[[#This Row],[RUTA]],Tabla2[#All],3,0),"")</f>
        <v>PALOMINO</v>
      </c>
      <c r="H94" s="49" t="str">
        <f>IFERROR(VLOOKUP(Tabla1[[#This Row],[RUTA]],Tabla2[[#All],[RUTA]:[PLACAS]],2,0),"")</f>
        <v>BFK-806</v>
      </c>
      <c r="I94" s="49" t="str">
        <f>IFERROR(VLOOKUP(Tabla1[[#This Row],[RUTA]],Tabla2[[#All],[RUTA]:[CONDUCTOR]],4,0),"")</f>
        <v>LUIS</v>
      </c>
      <c r="J94" s="49" t="str">
        <f>IFERROR(VLOOKUP(Tabla1[[#This Row],[RUTA]],Tabla2[#All],5,0),"")</f>
        <v>JOSE</v>
      </c>
      <c r="K94" s="50" t="s">
        <v>16</v>
      </c>
      <c r="L94" s="52"/>
      <c r="M94" s="53"/>
      <c r="N94" s="54" t="str">
        <f>IF(Tabla1[[#This Row],[ESTADO]]="ENTREGADO",IF(Tabla1[[#This Row],[OBSERVACIÓN]]="OK","SI","NO"),"")</f>
        <v/>
      </c>
    </row>
    <row r="95" spans="1:14" x14ac:dyDescent="0.2">
      <c r="A95" s="48">
        <v>45162</v>
      </c>
      <c r="B95" s="49" t="s">
        <v>180</v>
      </c>
      <c r="C95" s="49">
        <v>504</v>
      </c>
      <c r="D95" s="49">
        <v>7</v>
      </c>
      <c r="E95" s="49" t="str">
        <f>VLOOKUP(Tabla1[[#This Row],[ID TIENDA]],Guias[],2,0)</f>
        <v>T994-00165080</v>
      </c>
      <c r="F95" s="51">
        <v>1521.69</v>
      </c>
      <c r="G95" s="49" t="str">
        <f>IFERROR(VLOOKUP(Tabla1[[#This Row],[RUTA]],Tabla2[#All],3,0),"")</f>
        <v>PALOMINO</v>
      </c>
      <c r="H95" s="49" t="str">
        <f>IFERROR(VLOOKUP(Tabla1[[#This Row],[RUTA]],Tabla2[[#All],[RUTA]:[PLACAS]],2,0),"")</f>
        <v>BFK-806</v>
      </c>
      <c r="I95" s="49" t="str">
        <f>IFERROR(VLOOKUP(Tabla1[[#This Row],[RUTA]],Tabla2[[#All],[RUTA]:[CONDUCTOR]],4,0),"")</f>
        <v>LUIS</v>
      </c>
      <c r="J95" s="49" t="str">
        <f>IFERROR(VLOOKUP(Tabla1[[#This Row],[RUTA]],Tabla2[#All],5,0),"")</f>
        <v>JOSE</v>
      </c>
      <c r="K95" s="50" t="s">
        <v>16</v>
      </c>
      <c r="L95" s="52"/>
      <c r="M95" s="53"/>
      <c r="N95" s="54" t="str">
        <f>IF(Tabla1[[#This Row],[ESTADO]]="ENTREGADO",IF(Tabla1[[#This Row],[OBSERVACIÓN]]="OK","SI","NO"),"")</f>
        <v/>
      </c>
    </row>
    <row r="96" spans="1:14" x14ac:dyDescent="0.2">
      <c r="A96" s="48">
        <v>45162</v>
      </c>
      <c r="B96" s="49" t="s">
        <v>181</v>
      </c>
      <c r="C96" s="49">
        <v>93</v>
      </c>
      <c r="D96" s="49">
        <v>7</v>
      </c>
      <c r="E96" s="49" t="str">
        <f>VLOOKUP(Tabla1[[#This Row],[ID TIENDA]],Guias[],2,0)</f>
        <v>T994-00165103</v>
      </c>
      <c r="F96" s="51">
        <v>1267.46</v>
      </c>
      <c r="G96" s="49" t="str">
        <f>IFERROR(VLOOKUP(Tabla1[[#This Row],[RUTA]],Tabla2[#All],3,0),"")</f>
        <v>PALOMINO</v>
      </c>
      <c r="H96" s="49" t="str">
        <f>IFERROR(VLOOKUP(Tabla1[[#This Row],[RUTA]],Tabla2[[#All],[RUTA]:[PLACAS]],2,0),"")</f>
        <v>BFK-806</v>
      </c>
      <c r="I96" s="49" t="str">
        <f>IFERROR(VLOOKUP(Tabla1[[#This Row],[RUTA]],Tabla2[[#All],[RUTA]:[CONDUCTOR]],4,0),"")</f>
        <v>LUIS</v>
      </c>
      <c r="J96" s="49" t="str">
        <f>IFERROR(VLOOKUP(Tabla1[[#This Row],[RUTA]],Tabla2[#All],5,0),"")</f>
        <v>JOSE</v>
      </c>
      <c r="K96" s="50" t="s">
        <v>16</v>
      </c>
      <c r="L96" s="52"/>
      <c r="M96" s="53"/>
      <c r="N96" s="54" t="str">
        <f>IF(Tabla1[[#This Row],[ESTADO]]="ENTREGADO",IF(Tabla1[[#This Row],[OBSERVACIÓN]]="OK","SI","NO"),"")</f>
        <v/>
      </c>
    </row>
    <row r="97" spans="1:14" x14ac:dyDescent="0.2">
      <c r="A97" s="48">
        <v>45162</v>
      </c>
      <c r="B97" s="49" t="s">
        <v>182</v>
      </c>
      <c r="C97" s="49">
        <v>114</v>
      </c>
      <c r="D97" s="49">
        <v>7</v>
      </c>
      <c r="E97" s="49" t="str">
        <f>VLOOKUP(Tabla1[[#This Row],[ID TIENDA]],Guias[],2,0)</f>
        <v>T994-00165148</v>
      </c>
      <c r="F97" s="51">
        <v>374.83</v>
      </c>
      <c r="G97" s="49" t="str">
        <f>IFERROR(VLOOKUP(Tabla1[[#This Row],[RUTA]],Tabla2[#All],3,0),"")</f>
        <v>PALOMINO</v>
      </c>
      <c r="H97" s="49" t="str">
        <f>IFERROR(VLOOKUP(Tabla1[[#This Row],[RUTA]],Tabla2[[#All],[RUTA]:[PLACAS]],2,0),"")</f>
        <v>BFK-806</v>
      </c>
      <c r="I97" s="49" t="str">
        <f>IFERROR(VLOOKUP(Tabla1[[#This Row],[RUTA]],Tabla2[[#All],[RUTA]:[CONDUCTOR]],4,0),"")</f>
        <v>LUIS</v>
      </c>
      <c r="J97" s="49" t="str">
        <f>IFERROR(VLOOKUP(Tabla1[[#This Row],[RUTA]],Tabla2[#All],5,0),"")</f>
        <v>JOSE</v>
      </c>
      <c r="K97" s="50" t="s">
        <v>16</v>
      </c>
      <c r="L97" s="52"/>
      <c r="M97" s="53"/>
      <c r="N97" s="54" t="str">
        <f>IF(Tabla1[[#This Row],[ESTADO]]="ENTREGADO",IF(Tabla1[[#This Row],[OBSERVACIÓN]]="OK","SI","NO"),"")</f>
        <v/>
      </c>
    </row>
    <row r="98" spans="1:14" x14ac:dyDescent="0.2">
      <c r="A98" s="48">
        <v>45162</v>
      </c>
      <c r="B98" s="49" t="s">
        <v>183</v>
      </c>
      <c r="C98" s="49">
        <v>393</v>
      </c>
      <c r="D98" s="49">
        <v>7</v>
      </c>
      <c r="E98" s="49" t="str">
        <f>VLOOKUP(Tabla1[[#This Row],[ID TIENDA]],Guias[],2,0)</f>
        <v>9994-0039345162TCG</v>
      </c>
      <c r="F98" s="51">
        <v>562.20000000000005</v>
      </c>
      <c r="G98" s="49" t="str">
        <f>IFERROR(VLOOKUP(Tabla1[[#This Row],[RUTA]],Tabla2[#All],3,0),"")</f>
        <v>PALOMINO</v>
      </c>
      <c r="H98" s="49" t="str">
        <f>IFERROR(VLOOKUP(Tabla1[[#This Row],[RUTA]],Tabla2[[#All],[RUTA]:[PLACAS]],2,0),"")</f>
        <v>BFK-806</v>
      </c>
      <c r="I98" s="49" t="str">
        <f>IFERROR(VLOOKUP(Tabla1[[#This Row],[RUTA]],Tabla2[[#All],[RUTA]:[CONDUCTOR]],4,0),"")</f>
        <v>LUIS</v>
      </c>
      <c r="J98" s="49" t="str">
        <f>IFERROR(VLOOKUP(Tabla1[[#This Row],[RUTA]],Tabla2[#All],5,0),"")</f>
        <v>JOSE</v>
      </c>
      <c r="K98" s="50" t="s">
        <v>16</v>
      </c>
      <c r="L98" s="52"/>
      <c r="M98" s="53"/>
      <c r="N98" s="54" t="str">
        <f>IF(Tabla1[[#This Row],[ESTADO]]="ENTREGADO",IF(Tabla1[[#This Row],[OBSERVACIÓN]]="OK","SI","NO"),"")</f>
        <v/>
      </c>
    </row>
    <row r="99" spans="1:14" x14ac:dyDescent="0.2">
      <c r="A99" s="48">
        <v>45162</v>
      </c>
      <c r="B99" s="49" t="s">
        <v>184</v>
      </c>
      <c r="C99" s="49">
        <v>470</v>
      </c>
      <c r="D99" s="49">
        <v>7</v>
      </c>
      <c r="E99" s="49" t="str">
        <f>VLOOKUP(Tabla1[[#This Row],[ID TIENDA]],Guias[],2,0)</f>
        <v>T994-00165027</v>
      </c>
      <c r="F99" s="51">
        <v>1679.07</v>
      </c>
      <c r="G99" s="49" t="str">
        <f>IFERROR(VLOOKUP(Tabla1[[#This Row],[RUTA]],Tabla2[#All],3,0),"")</f>
        <v>PALOMINO</v>
      </c>
      <c r="H99" s="49" t="str">
        <f>IFERROR(VLOOKUP(Tabla1[[#This Row],[RUTA]],Tabla2[[#All],[RUTA]:[PLACAS]],2,0),"")</f>
        <v>BFK-806</v>
      </c>
      <c r="I99" s="49" t="str">
        <f>IFERROR(VLOOKUP(Tabla1[[#This Row],[RUTA]],Tabla2[[#All],[RUTA]:[CONDUCTOR]],4,0),"")</f>
        <v>LUIS</v>
      </c>
      <c r="J99" s="49" t="str">
        <f>IFERROR(VLOOKUP(Tabla1[[#This Row],[RUTA]],Tabla2[#All],5,0),"")</f>
        <v>JOSE</v>
      </c>
      <c r="K99" s="50" t="s">
        <v>16</v>
      </c>
      <c r="L99" s="52"/>
      <c r="M99" s="53"/>
      <c r="N99" s="54" t="str">
        <f>IF(Tabla1[[#This Row],[ESTADO]]="ENTREGADO",IF(Tabla1[[#This Row],[OBSERVACIÓN]]="OK","SI","NO"),"")</f>
        <v/>
      </c>
    </row>
    <row r="100" spans="1:14" x14ac:dyDescent="0.2">
      <c r="A100" s="48">
        <v>45162</v>
      </c>
      <c r="B100" s="49" t="s">
        <v>185</v>
      </c>
      <c r="C100" s="49">
        <v>486</v>
      </c>
      <c r="D100" s="49">
        <v>7</v>
      </c>
      <c r="E100" s="49" t="str">
        <f>VLOOKUP(Tabla1[[#This Row],[ID TIENDA]],Guias[],2,0)</f>
        <v>T994-00165011</v>
      </c>
      <c r="F100" s="51">
        <v>1453.14</v>
      </c>
      <c r="G100" s="49" t="str">
        <f>IFERROR(VLOOKUP(Tabla1[[#This Row],[RUTA]],Tabla2[#All],3,0),"")</f>
        <v>PALOMINO</v>
      </c>
      <c r="H100" s="49" t="str">
        <f>IFERROR(VLOOKUP(Tabla1[[#This Row],[RUTA]],Tabla2[[#All],[RUTA]:[PLACAS]],2,0),"")</f>
        <v>BFK-806</v>
      </c>
      <c r="I100" s="49" t="str">
        <f>IFERROR(VLOOKUP(Tabla1[[#This Row],[RUTA]],Tabla2[[#All],[RUTA]:[CONDUCTOR]],4,0),"")</f>
        <v>LUIS</v>
      </c>
      <c r="J100" s="49" t="str">
        <f>IFERROR(VLOOKUP(Tabla1[[#This Row],[RUTA]],Tabla2[#All],5,0),"")</f>
        <v>JOSE</v>
      </c>
      <c r="K100" s="50" t="s">
        <v>16</v>
      </c>
      <c r="L100" s="52"/>
      <c r="M100" s="53"/>
      <c r="N100" s="54" t="str">
        <f>IF(Tabla1[[#This Row],[ESTADO]]="ENTREGADO",IF(Tabla1[[#This Row],[OBSERVACIÓN]]="OK","SI","NO"),"")</f>
        <v/>
      </c>
    </row>
    <row r="101" spans="1:14" x14ac:dyDescent="0.2">
      <c r="A101" s="48">
        <v>45162</v>
      </c>
      <c r="B101" s="49" t="s">
        <v>186</v>
      </c>
      <c r="C101" s="49">
        <v>183</v>
      </c>
      <c r="D101" s="49">
        <v>7</v>
      </c>
      <c r="E101" s="49" t="str">
        <f>VLOOKUP(Tabla1[[#This Row],[ID TIENDA]],Guias[],2,0)</f>
        <v>T994-00165065</v>
      </c>
      <c r="F101" s="51">
        <v>619.49</v>
      </c>
      <c r="G101" s="49" t="str">
        <f>IFERROR(VLOOKUP(Tabla1[[#This Row],[RUTA]],Tabla2[#All],3,0),"")</f>
        <v>PALOMINO</v>
      </c>
      <c r="H101" s="49" t="str">
        <f>IFERROR(VLOOKUP(Tabla1[[#This Row],[RUTA]],Tabla2[[#All],[RUTA]:[PLACAS]],2,0),"")</f>
        <v>BFK-806</v>
      </c>
      <c r="I101" s="49" t="str">
        <f>IFERROR(VLOOKUP(Tabla1[[#This Row],[RUTA]],Tabla2[[#All],[RUTA]:[CONDUCTOR]],4,0),"")</f>
        <v>LUIS</v>
      </c>
      <c r="J101" s="49" t="str">
        <f>IFERROR(VLOOKUP(Tabla1[[#This Row],[RUTA]],Tabla2[#All],5,0),"")</f>
        <v>JOSE</v>
      </c>
      <c r="K101" s="50" t="s">
        <v>16</v>
      </c>
      <c r="L101" s="52"/>
      <c r="M101" s="53"/>
      <c r="N101" s="54" t="str">
        <f>IF(Tabla1[[#This Row],[ESTADO]]="ENTREGADO",IF(Tabla1[[#This Row],[OBSERVACIÓN]]="OK","SI","NO"),"")</f>
        <v/>
      </c>
    </row>
    <row r="102" spans="1:14" x14ac:dyDescent="0.2">
      <c r="A102" s="48">
        <v>45162</v>
      </c>
      <c r="B102" s="49" t="s">
        <v>56</v>
      </c>
      <c r="C102" s="49">
        <v>33</v>
      </c>
      <c r="D102" s="49">
        <v>7</v>
      </c>
      <c r="E102" s="49" t="str">
        <f>VLOOKUP(Tabla1[[#This Row],[ID TIENDA]],Guias[],2,0)</f>
        <v>T994-00165083</v>
      </c>
      <c r="F102" s="51">
        <v>1425.76</v>
      </c>
      <c r="G102" s="49" t="str">
        <f>IFERROR(VLOOKUP(Tabla1[[#This Row],[RUTA]],Tabla2[#All],3,0),"")</f>
        <v>PALOMINO</v>
      </c>
      <c r="H102" s="49" t="str">
        <f>IFERROR(VLOOKUP(Tabla1[[#This Row],[RUTA]],Tabla2[[#All],[RUTA]:[PLACAS]],2,0),"")</f>
        <v>BFK-806</v>
      </c>
      <c r="I102" s="49" t="str">
        <f>IFERROR(VLOOKUP(Tabla1[[#This Row],[RUTA]],Tabla2[[#All],[RUTA]:[CONDUCTOR]],4,0),"")</f>
        <v>LUIS</v>
      </c>
      <c r="J102" s="49" t="str">
        <f>IFERROR(VLOOKUP(Tabla1[[#This Row],[RUTA]],Tabla2[#All],5,0),"")</f>
        <v>JOSE</v>
      </c>
      <c r="K102" s="50" t="s">
        <v>16</v>
      </c>
      <c r="L102" s="52"/>
      <c r="M102" s="53"/>
      <c r="N102" s="54" t="str">
        <f>IF(Tabla1[[#This Row],[ESTADO]]="ENTREGADO",IF(Tabla1[[#This Row],[OBSERVACIÓN]]="OK","SI","NO"),"")</f>
        <v/>
      </c>
    </row>
    <row r="103" spans="1:14" x14ac:dyDescent="0.2">
      <c r="A103" s="48">
        <v>45162</v>
      </c>
      <c r="B103" s="49" t="s">
        <v>187</v>
      </c>
      <c r="C103" s="49">
        <v>478</v>
      </c>
      <c r="D103" s="49">
        <v>7</v>
      </c>
      <c r="E103" s="49" t="str">
        <f>VLOOKUP(Tabla1[[#This Row],[ID TIENDA]],Guias[],2,0)</f>
        <v>T994-00165131</v>
      </c>
      <c r="F103" s="51">
        <v>1727.37</v>
      </c>
      <c r="G103" s="49" t="str">
        <f>IFERROR(VLOOKUP(Tabla1[[#This Row],[RUTA]],Tabla2[#All],3,0),"")</f>
        <v>PALOMINO</v>
      </c>
      <c r="H103" s="49" t="str">
        <f>IFERROR(VLOOKUP(Tabla1[[#This Row],[RUTA]],Tabla2[[#All],[RUTA]:[PLACAS]],2,0),"")</f>
        <v>BFK-806</v>
      </c>
      <c r="I103" s="49" t="str">
        <f>IFERROR(VLOOKUP(Tabla1[[#This Row],[RUTA]],Tabla2[[#All],[RUTA]:[CONDUCTOR]],4,0),"")</f>
        <v>LUIS</v>
      </c>
      <c r="J103" s="49" t="str">
        <f>IFERROR(VLOOKUP(Tabla1[[#This Row],[RUTA]],Tabla2[#All],5,0),"")</f>
        <v>JOSE</v>
      </c>
      <c r="K103" s="50" t="s">
        <v>16</v>
      </c>
      <c r="L103" s="52"/>
      <c r="M103" s="53"/>
      <c r="N103" s="54" t="str">
        <f>IF(Tabla1[[#This Row],[ESTADO]]="ENTREGADO",IF(Tabla1[[#This Row],[OBSERVACIÓN]]="OK","SI","NO"),"")</f>
        <v/>
      </c>
    </row>
    <row r="104" spans="1:14" x14ac:dyDescent="0.2">
      <c r="A104" s="48">
        <v>45162</v>
      </c>
      <c r="B104" s="49" t="s">
        <v>188</v>
      </c>
      <c r="C104" s="49">
        <v>155</v>
      </c>
      <c r="D104" s="49">
        <v>8</v>
      </c>
      <c r="E104" s="49" t="str">
        <f>VLOOKUP(Tabla1[[#This Row],[ID TIENDA]],Guias[],2,0)</f>
        <v>T994-00164987</v>
      </c>
      <c r="F104" s="51">
        <v>1592.12</v>
      </c>
      <c r="G104" s="49" t="str">
        <f>IFERROR(VLOOKUP(Tabla1[[#This Row],[RUTA]],Tabla2[#All],3,0),"")</f>
        <v>PALOMINO</v>
      </c>
      <c r="H104" s="49" t="str">
        <f>IFERROR(VLOOKUP(Tabla1[[#This Row],[RUTA]],Tabla2[[#All],[RUTA]:[PLACAS]],2,0),"")</f>
        <v>BUC-807</v>
      </c>
      <c r="I104" s="49" t="str">
        <f>IFERROR(VLOOKUP(Tabla1[[#This Row],[RUTA]],Tabla2[[#All],[RUTA]:[CONDUCTOR]],4,0),"")</f>
        <v>ALDER</v>
      </c>
      <c r="J104" s="49" t="str">
        <f>IFERROR(VLOOKUP(Tabla1[[#This Row],[RUTA]],Tabla2[#All],5,0),"")</f>
        <v>EDEN</v>
      </c>
      <c r="K104" s="50" t="s">
        <v>16</v>
      </c>
      <c r="L104" s="52"/>
      <c r="M104" s="53"/>
      <c r="N104" s="54" t="str">
        <f>IF(Tabla1[[#This Row],[ESTADO]]="ENTREGADO",IF(Tabla1[[#This Row],[OBSERVACIÓN]]="OK","SI","NO"),"")</f>
        <v/>
      </c>
    </row>
    <row r="105" spans="1:14" x14ac:dyDescent="0.2">
      <c r="A105" s="48">
        <v>45162</v>
      </c>
      <c r="B105" s="49" t="s">
        <v>189</v>
      </c>
      <c r="C105" s="49">
        <v>385</v>
      </c>
      <c r="D105" s="49">
        <v>8</v>
      </c>
      <c r="E105" s="49" t="str">
        <f>VLOOKUP(Tabla1[[#This Row],[ID TIENDA]],Guias[],2,0)</f>
        <v>T994-00165102</v>
      </c>
      <c r="F105" s="51">
        <v>1475</v>
      </c>
      <c r="G105" s="49" t="str">
        <f>IFERROR(VLOOKUP(Tabla1[[#This Row],[RUTA]],Tabla2[#All],3,0),"")</f>
        <v>PALOMINO</v>
      </c>
      <c r="H105" s="49" t="str">
        <f>IFERROR(VLOOKUP(Tabla1[[#This Row],[RUTA]],Tabla2[[#All],[RUTA]:[PLACAS]],2,0),"")</f>
        <v>BUC-807</v>
      </c>
      <c r="I105" s="49" t="str">
        <f>IFERROR(VLOOKUP(Tabla1[[#This Row],[RUTA]],Tabla2[[#All],[RUTA]:[CONDUCTOR]],4,0),"")</f>
        <v>ALDER</v>
      </c>
      <c r="J105" s="49" t="str">
        <f>IFERROR(VLOOKUP(Tabla1[[#This Row],[RUTA]],Tabla2[#All],5,0),"")</f>
        <v>EDEN</v>
      </c>
      <c r="K105" s="50" t="s">
        <v>16</v>
      </c>
      <c r="L105" s="52"/>
      <c r="M105" s="53"/>
      <c r="N105" s="54" t="str">
        <f>IF(Tabla1[[#This Row],[ESTADO]]="ENTREGADO",IF(Tabla1[[#This Row],[OBSERVACIÓN]]="OK","SI","NO"),"")</f>
        <v/>
      </c>
    </row>
    <row r="106" spans="1:14" x14ac:dyDescent="0.2">
      <c r="A106" s="48">
        <v>45162</v>
      </c>
      <c r="B106" s="49" t="s">
        <v>190</v>
      </c>
      <c r="C106" s="49">
        <v>193</v>
      </c>
      <c r="D106" s="49">
        <v>8</v>
      </c>
      <c r="E106" s="49" t="str">
        <f>VLOOKUP(Tabla1[[#This Row],[ID TIENDA]],Guias[],2,0)</f>
        <v>T994-00165075</v>
      </c>
      <c r="F106" s="51">
        <v>2152.88</v>
      </c>
      <c r="G106" s="49" t="str">
        <f>IFERROR(VLOOKUP(Tabla1[[#This Row],[RUTA]],Tabla2[#All],3,0),"")</f>
        <v>PALOMINO</v>
      </c>
      <c r="H106" s="49" t="str">
        <f>IFERROR(VLOOKUP(Tabla1[[#This Row],[RUTA]],Tabla2[[#All],[RUTA]:[PLACAS]],2,0),"")</f>
        <v>BUC-807</v>
      </c>
      <c r="I106" s="49" t="str">
        <f>IFERROR(VLOOKUP(Tabla1[[#This Row],[RUTA]],Tabla2[[#All],[RUTA]:[CONDUCTOR]],4,0),"")</f>
        <v>ALDER</v>
      </c>
      <c r="J106" s="49" t="str">
        <f>IFERROR(VLOOKUP(Tabla1[[#This Row],[RUTA]],Tabla2[#All],5,0),"")</f>
        <v>EDEN</v>
      </c>
      <c r="K106" s="50" t="s">
        <v>16</v>
      </c>
      <c r="L106" s="52"/>
      <c r="M106" s="53"/>
      <c r="N106" s="54" t="str">
        <f>IF(Tabla1[[#This Row],[ESTADO]]="ENTREGADO",IF(Tabla1[[#This Row],[OBSERVACIÓN]]="OK","SI","NO"),"")</f>
        <v/>
      </c>
    </row>
    <row r="107" spans="1:14" x14ac:dyDescent="0.2">
      <c r="A107" s="48">
        <v>45162</v>
      </c>
      <c r="B107" s="49" t="s">
        <v>191</v>
      </c>
      <c r="C107" s="49">
        <v>392</v>
      </c>
      <c r="D107" s="49">
        <v>8</v>
      </c>
      <c r="E107" s="49" t="str">
        <f>VLOOKUP(Tabla1[[#This Row],[ID TIENDA]],Guias[],2,0)</f>
        <v>T994-00165036</v>
      </c>
      <c r="F107" s="51">
        <v>1555.17</v>
      </c>
      <c r="G107" s="49" t="str">
        <f>IFERROR(VLOOKUP(Tabla1[[#This Row],[RUTA]],Tabla2[#All],3,0),"")</f>
        <v>PALOMINO</v>
      </c>
      <c r="H107" s="49" t="str">
        <f>IFERROR(VLOOKUP(Tabla1[[#This Row],[RUTA]],Tabla2[[#All],[RUTA]:[PLACAS]],2,0),"")</f>
        <v>BUC-807</v>
      </c>
      <c r="I107" s="49" t="str">
        <f>IFERROR(VLOOKUP(Tabla1[[#This Row],[RUTA]],Tabla2[[#All],[RUTA]:[CONDUCTOR]],4,0),"")</f>
        <v>ALDER</v>
      </c>
      <c r="J107" s="49" t="str">
        <f>IFERROR(VLOOKUP(Tabla1[[#This Row],[RUTA]],Tabla2[#All],5,0),"")</f>
        <v>EDEN</v>
      </c>
      <c r="K107" s="50" t="s">
        <v>16</v>
      </c>
      <c r="L107" s="52"/>
      <c r="M107" s="53"/>
      <c r="N107" s="54" t="str">
        <f>IF(Tabla1[[#This Row],[ESTADO]]="ENTREGADO",IF(Tabla1[[#This Row],[OBSERVACIÓN]]="OK","SI","NO"),"")</f>
        <v/>
      </c>
    </row>
    <row r="108" spans="1:14" x14ac:dyDescent="0.2">
      <c r="A108" s="48">
        <v>45162</v>
      </c>
      <c r="B108" s="49" t="s">
        <v>192</v>
      </c>
      <c r="C108" s="49">
        <v>129</v>
      </c>
      <c r="D108" s="49">
        <v>8</v>
      </c>
      <c r="E108" s="49" t="str">
        <f>VLOOKUP(Tabla1[[#This Row],[ID TIENDA]],Guias[],2,0)</f>
        <v>T994-00165105</v>
      </c>
      <c r="F108" s="51">
        <v>1988.22</v>
      </c>
      <c r="G108" s="49" t="str">
        <f>IFERROR(VLOOKUP(Tabla1[[#This Row],[RUTA]],Tabla2[#All],3,0),"")</f>
        <v>PALOMINO</v>
      </c>
      <c r="H108" s="49" t="str">
        <f>IFERROR(VLOOKUP(Tabla1[[#This Row],[RUTA]],Tabla2[[#All],[RUTA]:[PLACAS]],2,0),"")</f>
        <v>BUC-807</v>
      </c>
      <c r="I108" s="49" t="str">
        <f>IFERROR(VLOOKUP(Tabla1[[#This Row],[RUTA]],Tabla2[[#All],[RUTA]:[CONDUCTOR]],4,0),"")</f>
        <v>ALDER</v>
      </c>
      <c r="J108" s="49" t="str">
        <f>IFERROR(VLOOKUP(Tabla1[[#This Row],[RUTA]],Tabla2[#All],5,0),"")</f>
        <v>EDEN</v>
      </c>
      <c r="K108" s="50" t="s">
        <v>16</v>
      </c>
      <c r="L108" s="52"/>
      <c r="M108" s="53"/>
      <c r="N108" s="54" t="str">
        <f>IF(Tabla1[[#This Row],[ESTADO]]="ENTREGADO",IF(Tabla1[[#This Row],[OBSERVACIÓN]]="OK","SI","NO"),"")</f>
        <v/>
      </c>
    </row>
    <row r="109" spans="1:14" x14ac:dyDescent="0.2">
      <c r="A109" s="48">
        <v>45162</v>
      </c>
      <c r="B109" s="49" t="s">
        <v>193</v>
      </c>
      <c r="C109" s="49">
        <v>152</v>
      </c>
      <c r="D109" s="49">
        <v>8</v>
      </c>
      <c r="E109" s="49" t="str">
        <f>VLOOKUP(Tabla1[[#This Row],[ID TIENDA]],Guias[],2,0)</f>
        <v>T994-00165161</v>
      </c>
      <c r="F109" s="51">
        <v>2779.58</v>
      </c>
      <c r="G109" s="49" t="str">
        <f>IFERROR(VLOOKUP(Tabla1[[#This Row],[RUTA]],Tabla2[#All],3,0),"")</f>
        <v>PALOMINO</v>
      </c>
      <c r="H109" s="49" t="str">
        <f>IFERROR(VLOOKUP(Tabla1[[#This Row],[RUTA]],Tabla2[[#All],[RUTA]:[PLACAS]],2,0),"")</f>
        <v>BUC-807</v>
      </c>
      <c r="I109" s="49" t="str">
        <f>IFERROR(VLOOKUP(Tabla1[[#This Row],[RUTA]],Tabla2[[#All],[RUTA]:[CONDUCTOR]],4,0),"")</f>
        <v>ALDER</v>
      </c>
      <c r="J109" s="49" t="str">
        <f>IFERROR(VLOOKUP(Tabla1[[#This Row],[RUTA]],Tabla2[#All],5,0),"")</f>
        <v>EDEN</v>
      </c>
      <c r="K109" s="50" t="s">
        <v>16</v>
      </c>
      <c r="L109" s="52"/>
      <c r="M109" s="53"/>
      <c r="N109" s="54" t="str">
        <f>IF(Tabla1[[#This Row],[ESTADO]]="ENTREGADO",IF(Tabla1[[#This Row],[OBSERVACIÓN]]="OK","SI","NO"),"")</f>
        <v/>
      </c>
    </row>
    <row r="110" spans="1:14" x14ac:dyDescent="0.2">
      <c r="A110" s="48">
        <v>45162</v>
      </c>
      <c r="B110" s="49" t="s">
        <v>194</v>
      </c>
      <c r="C110" s="49">
        <v>471</v>
      </c>
      <c r="D110" s="49">
        <v>8</v>
      </c>
      <c r="E110" s="49" t="str">
        <f>VLOOKUP(Tabla1[[#This Row],[ID TIENDA]],Guias[],2,0)</f>
        <v>T994-00164979</v>
      </c>
      <c r="F110" s="51">
        <v>2862.46</v>
      </c>
      <c r="G110" s="49" t="str">
        <f>IFERROR(VLOOKUP(Tabla1[[#This Row],[RUTA]],Tabla2[#All],3,0),"")</f>
        <v>PALOMINO</v>
      </c>
      <c r="H110" s="49" t="str">
        <f>IFERROR(VLOOKUP(Tabla1[[#This Row],[RUTA]],Tabla2[[#All],[RUTA]:[PLACAS]],2,0),"")</f>
        <v>BUC-807</v>
      </c>
      <c r="I110" s="49" t="str">
        <f>IFERROR(VLOOKUP(Tabla1[[#This Row],[RUTA]],Tabla2[[#All],[RUTA]:[CONDUCTOR]],4,0),"")</f>
        <v>ALDER</v>
      </c>
      <c r="J110" s="49" t="str">
        <f>IFERROR(VLOOKUP(Tabla1[[#This Row],[RUTA]],Tabla2[#All],5,0),"")</f>
        <v>EDEN</v>
      </c>
      <c r="K110" s="50" t="s">
        <v>16</v>
      </c>
      <c r="L110" s="52"/>
      <c r="M110" s="53"/>
      <c r="N110" s="54" t="str">
        <f>IF(Tabla1[[#This Row],[ESTADO]]="ENTREGADO",IF(Tabla1[[#This Row],[OBSERVACIÓN]]="OK","SI","NO"),"")</f>
        <v/>
      </c>
    </row>
    <row r="111" spans="1:14" x14ac:dyDescent="0.2">
      <c r="A111" s="48">
        <v>45162</v>
      </c>
      <c r="B111" s="49" t="s">
        <v>57</v>
      </c>
      <c r="C111" s="49">
        <v>246</v>
      </c>
      <c r="D111" s="49">
        <v>8</v>
      </c>
      <c r="E111" s="49" t="str">
        <f>VLOOKUP(Tabla1[[#This Row],[ID TIENDA]],Guias[],2,0)</f>
        <v>T994-00165119</v>
      </c>
      <c r="F111" s="51">
        <v>2752.03</v>
      </c>
      <c r="G111" s="49" t="str">
        <f>IFERROR(VLOOKUP(Tabla1[[#This Row],[RUTA]],Tabla2[#All],3,0),"")</f>
        <v>PALOMINO</v>
      </c>
      <c r="H111" s="49" t="str">
        <f>IFERROR(VLOOKUP(Tabla1[[#This Row],[RUTA]],Tabla2[[#All],[RUTA]:[PLACAS]],2,0),"")</f>
        <v>BUC-807</v>
      </c>
      <c r="I111" s="49" t="str">
        <f>IFERROR(VLOOKUP(Tabla1[[#This Row],[RUTA]],Tabla2[[#All],[RUTA]:[CONDUCTOR]],4,0),"")</f>
        <v>ALDER</v>
      </c>
      <c r="J111" s="49" t="str">
        <f>IFERROR(VLOOKUP(Tabla1[[#This Row],[RUTA]],Tabla2[#All],5,0),"")</f>
        <v>EDEN</v>
      </c>
      <c r="K111" s="50" t="s">
        <v>16</v>
      </c>
      <c r="L111" s="52"/>
      <c r="M111" s="53"/>
      <c r="N111" s="54" t="str">
        <f>IF(Tabla1[[#This Row],[ESTADO]]="ENTREGADO",IF(Tabla1[[#This Row],[OBSERVACIÓN]]="OK","SI","NO"),"")</f>
        <v/>
      </c>
    </row>
    <row r="112" spans="1:14" x14ac:dyDescent="0.2">
      <c r="A112" s="48">
        <v>45162</v>
      </c>
      <c r="B112" s="49" t="s">
        <v>195</v>
      </c>
      <c r="C112" s="49">
        <v>447</v>
      </c>
      <c r="D112" s="49">
        <v>8</v>
      </c>
      <c r="E112" s="49" t="str">
        <f>VLOOKUP(Tabla1[[#This Row],[ID TIENDA]],Guias[],2,0)</f>
        <v>T994-00165162</v>
      </c>
      <c r="F112" s="51">
        <v>1640.17</v>
      </c>
      <c r="G112" s="49" t="str">
        <f>IFERROR(VLOOKUP(Tabla1[[#This Row],[RUTA]],Tabla2[#All],3,0),"")</f>
        <v>PALOMINO</v>
      </c>
      <c r="H112" s="49" t="str">
        <f>IFERROR(VLOOKUP(Tabla1[[#This Row],[RUTA]],Tabla2[[#All],[RUTA]:[PLACAS]],2,0),"")</f>
        <v>BUC-807</v>
      </c>
      <c r="I112" s="49" t="str">
        <f>IFERROR(VLOOKUP(Tabla1[[#This Row],[RUTA]],Tabla2[[#All],[RUTA]:[CONDUCTOR]],4,0),"")</f>
        <v>ALDER</v>
      </c>
      <c r="J112" s="49" t="str">
        <f>IFERROR(VLOOKUP(Tabla1[[#This Row],[RUTA]],Tabla2[#All],5,0),"")</f>
        <v>EDEN</v>
      </c>
      <c r="K112" s="50" t="s">
        <v>16</v>
      </c>
      <c r="L112" s="52"/>
      <c r="M112" s="53"/>
      <c r="N112" s="54" t="str">
        <f>IF(Tabla1[[#This Row],[ESTADO]]="ENTREGADO",IF(Tabla1[[#This Row],[OBSERVACIÓN]]="OK","SI","NO"),"")</f>
        <v/>
      </c>
    </row>
    <row r="113" spans="1:14" x14ac:dyDescent="0.2">
      <c r="A113" s="48">
        <v>45162</v>
      </c>
      <c r="B113" s="49" t="s">
        <v>196</v>
      </c>
      <c r="C113" s="49">
        <v>309</v>
      </c>
      <c r="D113" s="49">
        <v>8</v>
      </c>
      <c r="E113" s="49" t="str">
        <f>VLOOKUP(Tabla1[[#This Row],[ID TIENDA]],Guias[],2,0)</f>
        <v>T994-00165028</v>
      </c>
      <c r="F113" s="51">
        <v>2588.64</v>
      </c>
      <c r="G113" s="49" t="str">
        <f>IFERROR(VLOOKUP(Tabla1[[#This Row],[RUTA]],Tabla2[#All],3,0),"")</f>
        <v>PALOMINO</v>
      </c>
      <c r="H113" s="49" t="str">
        <f>IFERROR(VLOOKUP(Tabla1[[#This Row],[RUTA]],Tabla2[[#All],[RUTA]:[PLACAS]],2,0),"")</f>
        <v>BUC-807</v>
      </c>
      <c r="I113" s="49" t="str">
        <f>IFERROR(VLOOKUP(Tabla1[[#This Row],[RUTA]],Tabla2[[#All],[RUTA]:[CONDUCTOR]],4,0),"")</f>
        <v>ALDER</v>
      </c>
      <c r="J113" s="49" t="str">
        <f>IFERROR(VLOOKUP(Tabla1[[#This Row],[RUTA]],Tabla2[#All],5,0),"")</f>
        <v>EDEN</v>
      </c>
      <c r="K113" s="50" t="s">
        <v>16</v>
      </c>
      <c r="L113" s="52"/>
      <c r="M113" s="53"/>
      <c r="N113" s="54" t="str">
        <f>IF(Tabla1[[#This Row],[ESTADO]]="ENTREGADO",IF(Tabla1[[#This Row],[OBSERVACIÓN]]="OK","SI","NO"),"")</f>
        <v/>
      </c>
    </row>
    <row r="114" spans="1:14" x14ac:dyDescent="0.2">
      <c r="A114" s="48">
        <v>45162</v>
      </c>
      <c r="B114" s="49" t="s">
        <v>197</v>
      </c>
      <c r="C114" s="49">
        <v>316</v>
      </c>
      <c r="D114" s="49">
        <v>8</v>
      </c>
      <c r="E114" s="49" t="str">
        <f>VLOOKUP(Tabla1[[#This Row],[ID TIENDA]],Guias[],2,0)</f>
        <v>T994-00165152</v>
      </c>
      <c r="F114" s="51">
        <v>2094.0700000000002</v>
      </c>
      <c r="G114" s="49" t="str">
        <f>IFERROR(VLOOKUP(Tabla1[[#This Row],[RUTA]],Tabla2[#All],3,0),"")</f>
        <v>PALOMINO</v>
      </c>
      <c r="H114" s="49" t="str">
        <f>IFERROR(VLOOKUP(Tabla1[[#This Row],[RUTA]],Tabla2[[#All],[RUTA]:[PLACAS]],2,0),"")</f>
        <v>BUC-807</v>
      </c>
      <c r="I114" s="49" t="str">
        <f>IFERROR(VLOOKUP(Tabla1[[#This Row],[RUTA]],Tabla2[[#All],[RUTA]:[CONDUCTOR]],4,0),"")</f>
        <v>ALDER</v>
      </c>
      <c r="J114" s="49" t="str">
        <f>IFERROR(VLOOKUP(Tabla1[[#This Row],[RUTA]],Tabla2[#All],5,0),"")</f>
        <v>EDEN</v>
      </c>
      <c r="K114" s="50" t="s">
        <v>16</v>
      </c>
      <c r="L114" s="52"/>
      <c r="M114" s="53"/>
      <c r="N114" s="54" t="str">
        <f>IF(Tabla1[[#This Row],[ESTADO]]="ENTREGADO",IF(Tabla1[[#This Row],[OBSERVACIÓN]]="OK","SI","NO"),"")</f>
        <v/>
      </c>
    </row>
    <row r="115" spans="1:14" x14ac:dyDescent="0.2">
      <c r="A115" s="48">
        <v>45162</v>
      </c>
      <c r="B115" s="49" t="s">
        <v>58</v>
      </c>
      <c r="C115" s="49">
        <v>153</v>
      </c>
      <c r="D115" s="49">
        <v>8</v>
      </c>
      <c r="E115" s="49" t="str">
        <f>VLOOKUP(Tabla1[[#This Row],[ID TIENDA]],Guias[],2,0)</f>
        <v>T994-00165150</v>
      </c>
      <c r="F115" s="51">
        <v>1651.02</v>
      </c>
      <c r="G115" s="49" t="str">
        <f>IFERROR(VLOOKUP(Tabla1[[#This Row],[RUTA]],Tabla2[#All],3,0),"")</f>
        <v>PALOMINO</v>
      </c>
      <c r="H115" s="49" t="str">
        <f>IFERROR(VLOOKUP(Tabla1[[#This Row],[RUTA]],Tabla2[[#All],[RUTA]:[PLACAS]],2,0),"")</f>
        <v>BUC-807</v>
      </c>
      <c r="I115" s="49" t="str">
        <f>IFERROR(VLOOKUP(Tabla1[[#This Row],[RUTA]],Tabla2[[#All],[RUTA]:[CONDUCTOR]],4,0),"")</f>
        <v>ALDER</v>
      </c>
      <c r="J115" s="49" t="str">
        <f>IFERROR(VLOOKUP(Tabla1[[#This Row],[RUTA]],Tabla2[#All],5,0),"")</f>
        <v>EDEN</v>
      </c>
      <c r="K115" s="50" t="s">
        <v>16</v>
      </c>
      <c r="L115" s="52"/>
      <c r="M115" s="53"/>
      <c r="N115" s="54" t="str">
        <f>IF(Tabla1[[#This Row],[ESTADO]]="ENTREGADO",IF(Tabla1[[#This Row],[OBSERVACIÓN]]="OK","SI","NO"),"")</f>
        <v/>
      </c>
    </row>
    <row r="116" spans="1:14" x14ac:dyDescent="0.2">
      <c r="A116" s="48">
        <v>45162</v>
      </c>
      <c r="B116" s="49" t="s">
        <v>198</v>
      </c>
      <c r="C116" s="49">
        <v>139</v>
      </c>
      <c r="D116" s="49">
        <v>8</v>
      </c>
      <c r="E116" s="49" t="str">
        <f>VLOOKUP(Tabla1[[#This Row],[ID TIENDA]],Guias[],2,0)</f>
        <v>T994-00165126</v>
      </c>
      <c r="F116" s="51">
        <v>1614.41</v>
      </c>
      <c r="G116" s="49" t="str">
        <f>IFERROR(VLOOKUP(Tabla1[[#This Row],[RUTA]],Tabla2[#All],3,0),"")</f>
        <v>PALOMINO</v>
      </c>
      <c r="H116" s="49" t="str">
        <f>IFERROR(VLOOKUP(Tabla1[[#This Row],[RUTA]],Tabla2[[#All],[RUTA]:[PLACAS]],2,0),"")</f>
        <v>BUC-807</v>
      </c>
      <c r="I116" s="49" t="str">
        <f>IFERROR(VLOOKUP(Tabla1[[#This Row],[RUTA]],Tabla2[[#All],[RUTA]:[CONDUCTOR]],4,0),"")</f>
        <v>ALDER</v>
      </c>
      <c r="J116" s="49" t="str">
        <f>IFERROR(VLOOKUP(Tabla1[[#This Row],[RUTA]],Tabla2[#All],5,0),"")</f>
        <v>EDEN</v>
      </c>
      <c r="K116" s="50" t="s">
        <v>16</v>
      </c>
      <c r="L116" s="52"/>
      <c r="M116" s="53"/>
      <c r="N116" s="54" t="str">
        <f>IF(Tabla1[[#This Row],[ESTADO]]="ENTREGADO",IF(Tabla1[[#This Row],[OBSERVACIÓN]]="OK","SI","NO"),"")</f>
        <v/>
      </c>
    </row>
    <row r="117" spans="1:14" x14ac:dyDescent="0.2">
      <c r="A117" s="48">
        <v>45162</v>
      </c>
      <c r="B117" s="49" t="s">
        <v>199</v>
      </c>
      <c r="C117" s="49">
        <v>532</v>
      </c>
      <c r="D117" s="49">
        <v>9</v>
      </c>
      <c r="E117" s="49" t="str">
        <f>VLOOKUP(Tabla1[[#This Row],[ID TIENDA]],Guias[],2,0)</f>
        <v>T994-00165093</v>
      </c>
      <c r="F117" s="51">
        <v>2170.59</v>
      </c>
      <c r="G117" s="49" t="str">
        <f>IFERROR(VLOOKUP(Tabla1[[#This Row],[RUTA]],Tabla2[#All],3,0),"")</f>
        <v>PALOMINO</v>
      </c>
      <c r="H117" s="49" t="str">
        <f>IFERROR(VLOOKUP(Tabla1[[#This Row],[RUTA]],Tabla2[[#All],[RUTA]:[PLACAS]],2,0),"")</f>
        <v>BAY-937</v>
      </c>
      <c r="I117" s="49" t="str">
        <f>IFERROR(VLOOKUP(Tabla1[[#This Row],[RUTA]],Tabla2[[#All],[RUTA]:[CONDUCTOR]],4,0),"")</f>
        <v>JOSE</v>
      </c>
      <c r="J117" s="49" t="str">
        <f>IFERROR(VLOOKUP(Tabla1[[#This Row],[RUTA]],Tabla2[#All],5,0),"")</f>
        <v>SILVIA</v>
      </c>
      <c r="K117" s="50" t="s">
        <v>16</v>
      </c>
      <c r="L117" s="52"/>
      <c r="M117" s="53"/>
      <c r="N117" s="54" t="str">
        <f>IF(Tabla1[[#This Row],[ESTADO]]="ENTREGADO",IF(Tabla1[[#This Row],[OBSERVACIÓN]]="OK","SI","NO"),"")</f>
        <v/>
      </c>
    </row>
    <row r="118" spans="1:14" x14ac:dyDescent="0.2">
      <c r="A118" s="48">
        <v>45162</v>
      </c>
      <c r="B118" s="49" t="s">
        <v>200</v>
      </c>
      <c r="C118" s="49">
        <v>225</v>
      </c>
      <c r="D118" s="49">
        <v>9</v>
      </c>
      <c r="E118" s="49" t="str">
        <f>VLOOKUP(Tabla1[[#This Row],[ID TIENDA]],Guias[],2,0)</f>
        <v>T994-00165001</v>
      </c>
      <c r="F118" s="51">
        <v>1931.7</v>
      </c>
      <c r="G118" s="49" t="str">
        <f>IFERROR(VLOOKUP(Tabla1[[#This Row],[RUTA]],Tabla2[#All],3,0),"")</f>
        <v>PALOMINO</v>
      </c>
      <c r="H118" s="49" t="str">
        <f>IFERROR(VLOOKUP(Tabla1[[#This Row],[RUTA]],Tabla2[[#All],[RUTA]:[PLACAS]],2,0),"")</f>
        <v>BAY-937</v>
      </c>
      <c r="I118" s="49" t="str">
        <f>IFERROR(VLOOKUP(Tabla1[[#This Row],[RUTA]],Tabla2[[#All],[RUTA]:[CONDUCTOR]],4,0),"")</f>
        <v>JOSE</v>
      </c>
      <c r="J118" s="49" t="str">
        <f>IFERROR(VLOOKUP(Tabla1[[#This Row],[RUTA]],Tabla2[#All],5,0),"")</f>
        <v>SILVIA</v>
      </c>
      <c r="K118" s="50" t="s">
        <v>16</v>
      </c>
      <c r="L118" s="52"/>
      <c r="M118" s="53"/>
      <c r="N118" s="54" t="str">
        <f>IF(Tabla1[[#This Row],[ESTADO]]="ENTREGADO",IF(Tabla1[[#This Row],[OBSERVACIÓN]]="OK","SI","NO"),"")</f>
        <v/>
      </c>
    </row>
    <row r="119" spans="1:14" x14ac:dyDescent="0.2">
      <c r="A119" s="48">
        <v>45162</v>
      </c>
      <c r="B119" s="49" t="s">
        <v>201</v>
      </c>
      <c r="C119" s="49">
        <v>186</v>
      </c>
      <c r="D119" s="49">
        <v>9</v>
      </c>
      <c r="E119" s="49" t="str">
        <f>VLOOKUP(Tabla1[[#This Row],[ID TIENDA]],Guias[],2,0)</f>
        <v>T994-00165139</v>
      </c>
      <c r="F119" s="51">
        <v>2081.9499999999998</v>
      </c>
      <c r="G119" s="49" t="str">
        <f>IFERROR(VLOOKUP(Tabla1[[#This Row],[RUTA]],Tabla2[#All],3,0),"")</f>
        <v>PALOMINO</v>
      </c>
      <c r="H119" s="49" t="str">
        <f>IFERROR(VLOOKUP(Tabla1[[#This Row],[RUTA]],Tabla2[[#All],[RUTA]:[PLACAS]],2,0),"")</f>
        <v>BAY-937</v>
      </c>
      <c r="I119" s="49" t="str">
        <f>IFERROR(VLOOKUP(Tabla1[[#This Row],[RUTA]],Tabla2[[#All],[RUTA]:[CONDUCTOR]],4,0),"")</f>
        <v>JOSE</v>
      </c>
      <c r="J119" s="49" t="str">
        <f>IFERROR(VLOOKUP(Tabla1[[#This Row],[RUTA]],Tabla2[#All],5,0),"")</f>
        <v>SILVIA</v>
      </c>
      <c r="K119" s="50" t="s">
        <v>16</v>
      </c>
      <c r="L119" s="52"/>
      <c r="M119" s="53"/>
      <c r="N119" s="54" t="str">
        <f>IF(Tabla1[[#This Row],[ESTADO]]="ENTREGADO",IF(Tabla1[[#This Row],[OBSERVACIÓN]]="OK","SI","NO"),"")</f>
        <v/>
      </c>
    </row>
    <row r="120" spans="1:14" x14ac:dyDescent="0.2">
      <c r="A120" s="48">
        <v>45162</v>
      </c>
      <c r="B120" s="49" t="s">
        <v>202</v>
      </c>
      <c r="C120" s="49">
        <v>318</v>
      </c>
      <c r="D120" s="49">
        <v>9</v>
      </c>
      <c r="E120" s="49" t="str">
        <f>VLOOKUP(Tabla1[[#This Row],[ID TIENDA]],Guias[],2,0)</f>
        <v>T994-00165049</v>
      </c>
      <c r="F120" s="51">
        <v>2024.15</v>
      </c>
      <c r="G120" s="49" t="str">
        <f>IFERROR(VLOOKUP(Tabla1[[#This Row],[RUTA]],Tabla2[#All],3,0),"")</f>
        <v>PALOMINO</v>
      </c>
      <c r="H120" s="49" t="str">
        <f>IFERROR(VLOOKUP(Tabla1[[#This Row],[RUTA]],Tabla2[[#All],[RUTA]:[PLACAS]],2,0),"")</f>
        <v>BAY-937</v>
      </c>
      <c r="I120" s="49" t="str">
        <f>IFERROR(VLOOKUP(Tabla1[[#This Row],[RUTA]],Tabla2[[#All],[RUTA]:[CONDUCTOR]],4,0),"")</f>
        <v>JOSE</v>
      </c>
      <c r="J120" s="49" t="str">
        <f>IFERROR(VLOOKUP(Tabla1[[#This Row],[RUTA]],Tabla2[#All],5,0),"")</f>
        <v>SILVIA</v>
      </c>
      <c r="K120" s="50" t="s">
        <v>16</v>
      </c>
      <c r="L120" s="52"/>
      <c r="M120" s="53"/>
      <c r="N120" s="54" t="str">
        <f>IF(Tabla1[[#This Row],[ESTADO]]="ENTREGADO",IF(Tabla1[[#This Row],[OBSERVACIÓN]]="OK","SI","NO"),"")</f>
        <v/>
      </c>
    </row>
    <row r="121" spans="1:14" x14ac:dyDescent="0.2">
      <c r="A121" s="48">
        <v>45162</v>
      </c>
      <c r="B121" s="49" t="s">
        <v>203</v>
      </c>
      <c r="C121" s="49">
        <v>122</v>
      </c>
      <c r="D121" s="49">
        <v>9</v>
      </c>
      <c r="E121" s="49" t="str">
        <f>VLOOKUP(Tabla1[[#This Row],[ID TIENDA]],Guias[],2,0)</f>
        <v>T994-00165077</v>
      </c>
      <c r="F121" s="51">
        <v>3334.49</v>
      </c>
      <c r="G121" s="49" t="str">
        <f>IFERROR(VLOOKUP(Tabla1[[#This Row],[RUTA]],Tabla2[#All],3,0),"")</f>
        <v>PALOMINO</v>
      </c>
      <c r="H121" s="49" t="str">
        <f>IFERROR(VLOOKUP(Tabla1[[#This Row],[RUTA]],Tabla2[[#All],[RUTA]:[PLACAS]],2,0),"")</f>
        <v>BAY-937</v>
      </c>
      <c r="I121" s="49" t="str">
        <f>IFERROR(VLOOKUP(Tabla1[[#This Row],[RUTA]],Tabla2[[#All],[RUTA]:[CONDUCTOR]],4,0),"")</f>
        <v>JOSE</v>
      </c>
      <c r="J121" s="49" t="str">
        <f>IFERROR(VLOOKUP(Tabla1[[#This Row],[RUTA]],Tabla2[#All],5,0),"")</f>
        <v>SILVIA</v>
      </c>
      <c r="K121" s="50" t="s">
        <v>16</v>
      </c>
      <c r="L121" s="52"/>
      <c r="M121" s="53"/>
      <c r="N121" s="54" t="str">
        <f>IF(Tabla1[[#This Row],[ESTADO]]="ENTREGADO",IF(Tabla1[[#This Row],[OBSERVACIÓN]]="OK","SI","NO"),"")</f>
        <v/>
      </c>
    </row>
    <row r="122" spans="1:14" x14ac:dyDescent="0.2">
      <c r="A122" s="48">
        <v>45162</v>
      </c>
      <c r="B122" s="49" t="s">
        <v>204</v>
      </c>
      <c r="C122" s="49">
        <v>56</v>
      </c>
      <c r="D122" s="49">
        <v>9</v>
      </c>
      <c r="E122" s="49" t="str">
        <f>VLOOKUP(Tabla1[[#This Row],[ID TIENDA]],Guias[],2,0)</f>
        <v>T994-00165037</v>
      </c>
      <c r="F122" s="51">
        <v>1924.92</v>
      </c>
      <c r="G122" s="49" t="str">
        <f>IFERROR(VLOOKUP(Tabla1[[#This Row],[RUTA]],Tabla2[#All],3,0),"")</f>
        <v>PALOMINO</v>
      </c>
      <c r="H122" s="49" t="str">
        <f>IFERROR(VLOOKUP(Tabla1[[#This Row],[RUTA]],Tabla2[[#All],[RUTA]:[PLACAS]],2,0),"")</f>
        <v>BAY-937</v>
      </c>
      <c r="I122" s="49" t="str">
        <f>IFERROR(VLOOKUP(Tabla1[[#This Row],[RUTA]],Tabla2[[#All],[RUTA]:[CONDUCTOR]],4,0),"")</f>
        <v>JOSE</v>
      </c>
      <c r="J122" s="49" t="str">
        <f>IFERROR(VLOOKUP(Tabla1[[#This Row],[RUTA]],Tabla2[#All],5,0),"")</f>
        <v>SILVIA</v>
      </c>
      <c r="K122" s="50" t="s">
        <v>16</v>
      </c>
      <c r="L122" s="52"/>
      <c r="M122" s="53"/>
      <c r="N122" s="54" t="str">
        <f>IF(Tabla1[[#This Row],[ESTADO]]="ENTREGADO",IF(Tabla1[[#This Row],[OBSERVACIÓN]]="OK","SI","NO"),"")</f>
        <v/>
      </c>
    </row>
    <row r="123" spans="1:14" x14ac:dyDescent="0.2">
      <c r="A123" s="48">
        <v>45162</v>
      </c>
      <c r="B123" s="49" t="s">
        <v>59</v>
      </c>
      <c r="C123" s="49">
        <v>101</v>
      </c>
      <c r="D123" s="49">
        <v>9</v>
      </c>
      <c r="E123" s="49" t="str">
        <f>VLOOKUP(Tabla1[[#This Row],[ID TIENDA]],Guias[],2,0)</f>
        <v>T994-00164976</v>
      </c>
      <c r="F123" s="51">
        <v>2660.25</v>
      </c>
      <c r="G123" s="49" t="str">
        <f>IFERROR(VLOOKUP(Tabla1[[#This Row],[RUTA]],Tabla2[#All],3,0),"")</f>
        <v>PALOMINO</v>
      </c>
      <c r="H123" s="49" t="str">
        <f>IFERROR(VLOOKUP(Tabla1[[#This Row],[RUTA]],Tabla2[[#All],[RUTA]:[PLACAS]],2,0),"")</f>
        <v>BAY-937</v>
      </c>
      <c r="I123" s="49" t="str">
        <f>IFERROR(VLOOKUP(Tabla1[[#This Row],[RUTA]],Tabla2[[#All],[RUTA]:[CONDUCTOR]],4,0),"")</f>
        <v>JOSE</v>
      </c>
      <c r="J123" s="49" t="str">
        <f>IFERROR(VLOOKUP(Tabla1[[#This Row],[RUTA]],Tabla2[#All],5,0),"")</f>
        <v>SILVIA</v>
      </c>
      <c r="K123" s="50" t="s">
        <v>16</v>
      </c>
      <c r="L123" s="52"/>
      <c r="M123" s="53"/>
      <c r="N123" s="54" t="str">
        <f>IF(Tabla1[[#This Row],[ESTADO]]="ENTREGADO",IF(Tabla1[[#This Row],[OBSERVACIÓN]]="OK","SI","NO"),"")</f>
        <v/>
      </c>
    </row>
    <row r="124" spans="1:14" x14ac:dyDescent="0.2">
      <c r="A124" s="48">
        <v>45162</v>
      </c>
      <c r="B124" s="49" t="s">
        <v>205</v>
      </c>
      <c r="C124" s="49">
        <v>84</v>
      </c>
      <c r="D124" s="49">
        <v>9</v>
      </c>
      <c r="E124" s="49" t="str">
        <f>VLOOKUP(Tabla1[[#This Row],[ID TIENDA]],Guias[],2,0)</f>
        <v>T994-00165008</v>
      </c>
      <c r="F124" s="51">
        <v>2184.4899999999998</v>
      </c>
      <c r="G124" s="49" t="str">
        <f>IFERROR(VLOOKUP(Tabla1[[#This Row],[RUTA]],Tabla2[#All],3,0),"")</f>
        <v>PALOMINO</v>
      </c>
      <c r="H124" s="49" t="str">
        <f>IFERROR(VLOOKUP(Tabla1[[#This Row],[RUTA]],Tabla2[[#All],[RUTA]:[PLACAS]],2,0),"")</f>
        <v>BAY-937</v>
      </c>
      <c r="I124" s="49" t="str">
        <f>IFERROR(VLOOKUP(Tabla1[[#This Row],[RUTA]],Tabla2[[#All],[RUTA]:[CONDUCTOR]],4,0),"")</f>
        <v>JOSE</v>
      </c>
      <c r="J124" s="49" t="str">
        <f>IFERROR(VLOOKUP(Tabla1[[#This Row],[RUTA]],Tabla2[#All],5,0),"")</f>
        <v>SILVIA</v>
      </c>
      <c r="K124" s="50" t="s">
        <v>16</v>
      </c>
      <c r="L124" s="52"/>
      <c r="M124" s="53"/>
      <c r="N124" s="54" t="str">
        <f>IF(Tabla1[[#This Row],[ESTADO]]="ENTREGADO",IF(Tabla1[[#This Row],[OBSERVACIÓN]]="OK","SI","NO"),"")</f>
        <v/>
      </c>
    </row>
    <row r="125" spans="1:14" x14ac:dyDescent="0.2">
      <c r="A125" s="48">
        <v>45162</v>
      </c>
      <c r="B125" s="49" t="s">
        <v>206</v>
      </c>
      <c r="C125" s="49">
        <v>340</v>
      </c>
      <c r="D125" s="49">
        <v>9</v>
      </c>
      <c r="E125" s="49" t="str">
        <f>VLOOKUP(Tabla1[[#This Row],[ID TIENDA]],Guias[],2,0)</f>
        <v>T994-00165167</v>
      </c>
      <c r="F125" s="51">
        <v>2294.92</v>
      </c>
      <c r="G125" s="49" t="str">
        <f>IFERROR(VLOOKUP(Tabla1[[#This Row],[RUTA]],Tabla2[#All],3,0),"")</f>
        <v>PALOMINO</v>
      </c>
      <c r="H125" s="49" t="str">
        <f>IFERROR(VLOOKUP(Tabla1[[#This Row],[RUTA]],Tabla2[[#All],[RUTA]:[PLACAS]],2,0),"")</f>
        <v>BAY-937</v>
      </c>
      <c r="I125" s="49" t="str">
        <f>IFERROR(VLOOKUP(Tabla1[[#This Row],[RUTA]],Tabla2[[#All],[RUTA]:[CONDUCTOR]],4,0),"")</f>
        <v>JOSE</v>
      </c>
      <c r="J125" s="49" t="str">
        <f>IFERROR(VLOOKUP(Tabla1[[#This Row],[RUTA]],Tabla2[#All],5,0),"")</f>
        <v>SILVIA</v>
      </c>
      <c r="K125" s="50" t="s">
        <v>16</v>
      </c>
      <c r="L125" s="52"/>
      <c r="M125" s="53"/>
      <c r="N125" s="54" t="str">
        <f>IF(Tabla1[[#This Row],[ESTADO]]="ENTREGADO",IF(Tabla1[[#This Row],[OBSERVACIÓN]]="OK","SI","NO"),"")</f>
        <v/>
      </c>
    </row>
    <row r="126" spans="1:14" x14ac:dyDescent="0.2">
      <c r="A126" s="48">
        <v>45162</v>
      </c>
      <c r="B126" s="49" t="s">
        <v>207</v>
      </c>
      <c r="C126" s="49">
        <v>19</v>
      </c>
      <c r="D126" s="49">
        <v>9</v>
      </c>
      <c r="E126" s="49" t="str">
        <f>VLOOKUP(Tabla1[[#This Row],[ID TIENDA]],Guias[],2,0)</f>
        <v>T994-00165087</v>
      </c>
      <c r="F126" s="51">
        <v>1723.22</v>
      </c>
      <c r="G126" s="49" t="str">
        <f>IFERROR(VLOOKUP(Tabla1[[#This Row],[RUTA]],Tabla2[#All],3,0),"")</f>
        <v>PALOMINO</v>
      </c>
      <c r="H126" s="49" t="str">
        <f>IFERROR(VLOOKUP(Tabla1[[#This Row],[RUTA]],Tabla2[[#All],[RUTA]:[PLACAS]],2,0),"")</f>
        <v>BAY-937</v>
      </c>
      <c r="I126" s="49" t="str">
        <f>IFERROR(VLOOKUP(Tabla1[[#This Row],[RUTA]],Tabla2[[#All],[RUTA]:[CONDUCTOR]],4,0),"")</f>
        <v>JOSE</v>
      </c>
      <c r="J126" s="49" t="str">
        <f>IFERROR(VLOOKUP(Tabla1[[#This Row],[RUTA]],Tabla2[#All],5,0),"")</f>
        <v>SILVIA</v>
      </c>
      <c r="K126" s="50" t="s">
        <v>16</v>
      </c>
      <c r="L126" s="52"/>
      <c r="M126" s="53"/>
      <c r="N126" s="54" t="str">
        <f>IF(Tabla1[[#This Row],[ESTADO]]="ENTREGADO",IF(Tabla1[[#This Row],[OBSERVACIÓN]]="OK","SI","NO"),"")</f>
        <v/>
      </c>
    </row>
    <row r="127" spans="1:14" x14ac:dyDescent="0.2">
      <c r="A127" s="48">
        <v>45162</v>
      </c>
      <c r="B127" s="49" t="s">
        <v>208</v>
      </c>
      <c r="C127" s="49">
        <v>14</v>
      </c>
      <c r="D127" s="49">
        <v>9</v>
      </c>
      <c r="E127" s="49" t="str">
        <f>VLOOKUP(Tabla1[[#This Row],[ID TIENDA]],Guias[],2,0)</f>
        <v>T994-00164992</v>
      </c>
      <c r="F127" s="51">
        <v>1570.17</v>
      </c>
      <c r="G127" s="49" t="str">
        <f>IFERROR(VLOOKUP(Tabla1[[#This Row],[RUTA]],Tabla2[#All],3,0),"")</f>
        <v>PALOMINO</v>
      </c>
      <c r="H127" s="49" t="str">
        <f>IFERROR(VLOOKUP(Tabla1[[#This Row],[RUTA]],Tabla2[[#All],[RUTA]:[PLACAS]],2,0),"")</f>
        <v>BAY-937</v>
      </c>
      <c r="I127" s="49" t="str">
        <f>IFERROR(VLOOKUP(Tabla1[[#This Row],[RUTA]],Tabla2[[#All],[RUTA]:[CONDUCTOR]],4,0),"")</f>
        <v>JOSE</v>
      </c>
      <c r="J127" s="49" t="str">
        <f>IFERROR(VLOOKUP(Tabla1[[#This Row],[RUTA]],Tabla2[#All],5,0),"")</f>
        <v>SILVIA</v>
      </c>
      <c r="K127" s="50" t="s">
        <v>16</v>
      </c>
      <c r="L127" s="52"/>
      <c r="M127" s="53"/>
      <c r="N127" s="54" t="str">
        <f>IF(Tabla1[[#This Row],[ESTADO]]="ENTREGADO",IF(Tabla1[[#This Row],[OBSERVACIÓN]]="OK","SI","NO"),"")</f>
        <v/>
      </c>
    </row>
    <row r="128" spans="1:14" x14ac:dyDescent="0.2">
      <c r="A128" s="48">
        <v>45162</v>
      </c>
      <c r="B128" s="49" t="s">
        <v>209</v>
      </c>
      <c r="C128" s="49">
        <v>243</v>
      </c>
      <c r="D128" s="49">
        <v>9</v>
      </c>
      <c r="E128" s="49" t="str">
        <f>VLOOKUP(Tabla1[[#This Row],[ID TIENDA]],Guias[],2,0)</f>
        <v>T994-00165149</v>
      </c>
      <c r="F128" s="51">
        <v>977.88</v>
      </c>
      <c r="G128" s="49" t="str">
        <f>IFERROR(VLOOKUP(Tabla1[[#This Row],[RUTA]],Tabla2[#All],3,0),"")</f>
        <v>PALOMINO</v>
      </c>
      <c r="H128" s="49" t="str">
        <f>IFERROR(VLOOKUP(Tabla1[[#This Row],[RUTA]],Tabla2[[#All],[RUTA]:[PLACAS]],2,0),"")</f>
        <v>BAY-937</v>
      </c>
      <c r="I128" s="49" t="str">
        <f>IFERROR(VLOOKUP(Tabla1[[#This Row],[RUTA]],Tabla2[[#All],[RUTA]:[CONDUCTOR]],4,0),"")</f>
        <v>JOSE</v>
      </c>
      <c r="J128" s="49" t="str">
        <f>IFERROR(VLOOKUP(Tabla1[[#This Row],[RUTA]],Tabla2[#All],5,0),"")</f>
        <v>SILVIA</v>
      </c>
      <c r="K128" s="50" t="s">
        <v>16</v>
      </c>
      <c r="L128" s="52"/>
      <c r="M128" s="53"/>
      <c r="N128" s="54" t="str">
        <f>IF(Tabla1[[#This Row],[ESTADO]]="ENTREGADO",IF(Tabla1[[#This Row],[OBSERVACIÓN]]="OK","SI","NO"),"")</f>
        <v/>
      </c>
    </row>
    <row r="129" spans="1:14" x14ac:dyDescent="0.2">
      <c r="A129" s="48">
        <v>45162</v>
      </c>
      <c r="B129" s="49" t="s">
        <v>210</v>
      </c>
      <c r="C129" s="49">
        <v>401</v>
      </c>
      <c r="D129" s="49">
        <v>9</v>
      </c>
      <c r="E129" s="49" t="str">
        <f>VLOOKUP(Tabla1[[#This Row],[ID TIENDA]],Guias[],2,0)</f>
        <v>T994-00164997</v>
      </c>
      <c r="F129" s="51">
        <v>1187.97</v>
      </c>
      <c r="G129" s="49" t="str">
        <f>IFERROR(VLOOKUP(Tabla1[[#This Row],[RUTA]],Tabla2[#All],3,0),"")</f>
        <v>PALOMINO</v>
      </c>
      <c r="H129" s="49" t="str">
        <f>IFERROR(VLOOKUP(Tabla1[[#This Row],[RUTA]],Tabla2[[#All],[RUTA]:[PLACAS]],2,0),"")</f>
        <v>BAY-937</v>
      </c>
      <c r="I129" s="49" t="str">
        <f>IFERROR(VLOOKUP(Tabla1[[#This Row],[RUTA]],Tabla2[[#All],[RUTA]:[CONDUCTOR]],4,0),"")</f>
        <v>JOSE</v>
      </c>
      <c r="J129" s="49" t="str">
        <f>IFERROR(VLOOKUP(Tabla1[[#This Row],[RUTA]],Tabla2[#All],5,0),"")</f>
        <v>SILVIA</v>
      </c>
      <c r="K129" s="50" t="s">
        <v>16</v>
      </c>
      <c r="L129" s="52"/>
      <c r="M129" s="53"/>
      <c r="N129" s="54" t="str">
        <f>IF(Tabla1[[#This Row],[ESTADO]]="ENTREGADO",IF(Tabla1[[#This Row],[OBSERVACIÓN]]="OK","SI","NO"),"")</f>
        <v/>
      </c>
    </row>
    <row r="130" spans="1:14" x14ac:dyDescent="0.2">
      <c r="A130" s="48">
        <v>45162</v>
      </c>
      <c r="B130" s="49" t="s">
        <v>211</v>
      </c>
      <c r="C130" s="49">
        <v>97</v>
      </c>
      <c r="D130" s="49">
        <v>10</v>
      </c>
      <c r="E130" s="49" t="str">
        <f>VLOOKUP(Tabla1[[#This Row],[ID TIENDA]],Guias[],2,0)</f>
        <v>T994-00165098</v>
      </c>
      <c r="F130" s="51">
        <v>1613.47</v>
      </c>
      <c r="G130" s="49" t="str">
        <f>IFERROR(VLOOKUP(Tabla1[[#This Row],[RUTA]],Tabla2[#All],3,0),"")</f>
        <v>PALOMINO</v>
      </c>
      <c r="H130" s="49" t="str">
        <f>IFERROR(VLOOKUP(Tabla1[[#This Row],[RUTA]],Tabla2[[#All],[RUTA]:[PLACAS]],2,0),"")</f>
        <v>BMH-890</v>
      </c>
      <c r="I130" s="49" t="str">
        <f>IFERROR(VLOOKUP(Tabla1[[#This Row],[RUTA]],Tabla2[[#All],[RUTA]:[CONDUCTOR]],4,0),"")</f>
        <v>YHIM</v>
      </c>
      <c r="J130" s="49" t="str">
        <f>IFERROR(VLOOKUP(Tabla1[[#This Row],[RUTA]],Tabla2[#All],5,0),"")</f>
        <v>WILIAM</v>
      </c>
      <c r="K130" s="50" t="s">
        <v>16</v>
      </c>
      <c r="L130" s="52"/>
      <c r="M130" s="53"/>
      <c r="N130" s="54" t="str">
        <f>IF(Tabla1[[#This Row],[ESTADO]]="ENTREGADO",IF(Tabla1[[#This Row],[OBSERVACIÓN]]="OK","SI","NO"),"")</f>
        <v/>
      </c>
    </row>
    <row r="131" spans="1:14" x14ac:dyDescent="0.2">
      <c r="A131" s="48">
        <v>45162</v>
      </c>
      <c r="B131" s="49" t="s">
        <v>61</v>
      </c>
      <c r="C131" s="49">
        <v>176</v>
      </c>
      <c r="D131" s="49">
        <v>10</v>
      </c>
      <c r="E131" s="49" t="str">
        <f>VLOOKUP(Tabla1[[#This Row],[ID TIENDA]],Guias[],2,0)</f>
        <v>T994-00164974</v>
      </c>
      <c r="F131" s="51">
        <v>2992.8</v>
      </c>
      <c r="G131" s="49" t="str">
        <f>IFERROR(VLOOKUP(Tabla1[[#This Row],[RUTA]],Tabla2[#All],3,0),"")</f>
        <v>PALOMINO</v>
      </c>
      <c r="H131" s="49" t="str">
        <f>IFERROR(VLOOKUP(Tabla1[[#This Row],[RUTA]],Tabla2[[#All],[RUTA]:[PLACAS]],2,0),"")</f>
        <v>BMH-890</v>
      </c>
      <c r="I131" s="49" t="str">
        <f>IFERROR(VLOOKUP(Tabla1[[#This Row],[RUTA]],Tabla2[[#All],[RUTA]:[CONDUCTOR]],4,0),"")</f>
        <v>YHIM</v>
      </c>
      <c r="J131" s="49" t="str">
        <f>IFERROR(VLOOKUP(Tabla1[[#This Row],[RUTA]],Tabla2[#All],5,0),"")</f>
        <v>WILIAM</v>
      </c>
      <c r="K131" s="50" t="s">
        <v>16</v>
      </c>
      <c r="L131" s="52"/>
      <c r="M131" s="53"/>
      <c r="N131" s="54" t="str">
        <f>IF(Tabla1[[#This Row],[ESTADO]]="ENTREGADO",IF(Tabla1[[#This Row],[OBSERVACIÓN]]="OK","SI","NO"),"")</f>
        <v/>
      </c>
    </row>
    <row r="132" spans="1:14" x14ac:dyDescent="0.2">
      <c r="A132" s="48">
        <v>45162</v>
      </c>
      <c r="B132" s="49" t="s">
        <v>212</v>
      </c>
      <c r="C132" s="49">
        <v>106</v>
      </c>
      <c r="D132" s="49">
        <v>10</v>
      </c>
      <c r="E132" s="49" t="str">
        <f>VLOOKUP(Tabla1[[#This Row],[ID TIENDA]],Guias[],2,0)</f>
        <v>T994-00165109</v>
      </c>
      <c r="F132" s="51">
        <v>2283.9</v>
      </c>
      <c r="G132" s="49" t="str">
        <f>IFERROR(VLOOKUP(Tabla1[[#This Row],[RUTA]],Tabla2[#All],3,0),"")</f>
        <v>PALOMINO</v>
      </c>
      <c r="H132" s="49" t="str">
        <f>IFERROR(VLOOKUP(Tabla1[[#This Row],[RUTA]],Tabla2[[#All],[RUTA]:[PLACAS]],2,0),"")</f>
        <v>BMH-890</v>
      </c>
      <c r="I132" s="49" t="str">
        <f>IFERROR(VLOOKUP(Tabla1[[#This Row],[RUTA]],Tabla2[[#All],[RUTA]:[CONDUCTOR]],4,0),"")</f>
        <v>YHIM</v>
      </c>
      <c r="J132" s="49" t="str">
        <f>IFERROR(VLOOKUP(Tabla1[[#This Row],[RUTA]],Tabla2[#All],5,0),"")</f>
        <v>WILIAM</v>
      </c>
      <c r="K132" s="50" t="s">
        <v>16</v>
      </c>
      <c r="L132" s="52"/>
      <c r="M132" s="53"/>
      <c r="N132" s="54" t="str">
        <f>IF(Tabla1[[#This Row],[ESTADO]]="ENTREGADO",IF(Tabla1[[#This Row],[OBSERVACIÓN]]="OK","SI","NO"),"")</f>
        <v/>
      </c>
    </row>
    <row r="133" spans="1:14" x14ac:dyDescent="0.2">
      <c r="A133" s="48">
        <v>45162</v>
      </c>
      <c r="B133" s="49" t="s">
        <v>213</v>
      </c>
      <c r="C133" s="49">
        <v>69</v>
      </c>
      <c r="D133" s="49">
        <v>10</v>
      </c>
      <c r="E133" s="49" t="str">
        <f>VLOOKUP(Tabla1[[#This Row],[ID TIENDA]],Guias[],2,0)</f>
        <v>T994-00164983</v>
      </c>
      <c r="F133" s="51">
        <v>558.47</v>
      </c>
      <c r="G133" s="49" t="str">
        <f>IFERROR(VLOOKUP(Tabla1[[#This Row],[RUTA]],Tabla2[#All],3,0),"")</f>
        <v>PALOMINO</v>
      </c>
      <c r="H133" s="49" t="str">
        <f>IFERROR(VLOOKUP(Tabla1[[#This Row],[RUTA]],Tabla2[[#All],[RUTA]:[PLACAS]],2,0),"")</f>
        <v>BMH-890</v>
      </c>
      <c r="I133" s="49" t="str">
        <f>IFERROR(VLOOKUP(Tabla1[[#This Row],[RUTA]],Tabla2[[#All],[RUTA]:[CONDUCTOR]],4,0),"")</f>
        <v>YHIM</v>
      </c>
      <c r="J133" s="49" t="str">
        <f>IFERROR(VLOOKUP(Tabla1[[#This Row],[RUTA]],Tabla2[#All],5,0),"")</f>
        <v>WILIAM</v>
      </c>
      <c r="K133" s="50" t="s">
        <v>16</v>
      </c>
      <c r="L133" s="52"/>
      <c r="M133" s="53"/>
      <c r="N133" s="54" t="str">
        <f>IF(Tabla1[[#This Row],[ESTADO]]="ENTREGADO",IF(Tabla1[[#This Row],[OBSERVACIÓN]]="OK","SI","NO"),"")</f>
        <v/>
      </c>
    </row>
    <row r="134" spans="1:14" x14ac:dyDescent="0.2">
      <c r="A134" s="48">
        <v>45162</v>
      </c>
      <c r="B134" s="49" t="s">
        <v>214</v>
      </c>
      <c r="C134" s="49">
        <v>261</v>
      </c>
      <c r="D134" s="49">
        <v>10</v>
      </c>
      <c r="E134" s="49" t="str">
        <f>VLOOKUP(Tabla1[[#This Row],[ID TIENDA]],Guias[],2,0)</f>
        <v>T994-00165085</v>
      </c>
      <c r="F134" s="51">
        <v>2671.87</v>
      </c>
      <c r="G134" s="49" t="str">
        <f>IFERROR(VLOOKUP(Tabla1[[#This Row],[RUTA]],Tabla2[#All],3,0),"")</f>
        <v>PALOMINO</v>
      </c>
      <c r="H134" s="49" t="str">
        <f>IFERROR(VLOOKUP(Tabla1[[#This Row],[RUTA]],Tabla2[[#All],[RUTA]:[PLACAS]],2,0),"")</f>
        <v>BMH-890</v>
      </c>
      <c r="I134" s="49" t="str">
        <f>IFERROR(VLOOKUP(Tabla1[[#This Row],[RUTA]],Tabla2[[#All],[RUTA]:[CONDUCTOR]],4,0),"")</f>
        <v>YHIM</v>
      </c>
      <c r="J134" s="49" t="str">
        <f>IFERROR(VLOOKUP(Tabla1[[#This Row],[RUTA]],Tabla2[#All],5,0),"")</f>
        <v>WILIAM</v>
      </c>
      <c r="K134" s="50" t="s">
        <v>16</v>
      </c>
      <c r="L134" s="52"/>
      <c r="M134" s="53"/>
      <c r="N134" s="54" t="str">
        <f>IF(Tabla1[[#This Row],[ESTADO]]="ENTREGADO",IF(Tabla1[[#This Row],[OBSERVACIÓN]]="OK","SI","NO"),"")</f>
        <v/>
      </c>
    </row>
    <row r="135" spans="1:14" x14ac:dyDescent="0.2">
      <c r="A135" s="48">
        <v>45162</v>
      </c>
      <c r="B135" s="49" t="s">
        <v>215</v>
      </c>
      <c r="C135" s="49">
        <v>166</v>
      </c>
      <c r="D135" s="49">
        <v>10</v>
      </c>
      <c r="E135" s="49" t="str">
        <f>VLOOKUP(Tabla1[[#This Row],[ID TIENDA]],Guias[],2,0)</f>
        <v>T994-00165120</v>
      </c>
      <c r="F135" s="51">
        <v>3277.46</v>
      </c>
      <c r="G135" s="49" t="str">
        <f>IFERROR(VLOOKUP(Tabla1[[#This Row],[RUTA]],Tabla2[#All],3,0),"")</f>
        <v>PALOMINO</v>
      </c>
      <c r="H135" s="49" t="str">
        <f>IFERROR(VLOOKUP(Tabla1[[#This Row],[RUTA]],Tabla2[[#All],[RUTA]:[PLACAS]],2,0),"")</f>
        <v>BMH-890</v>
      </c>
      <c r="I135" s="49" t="str">
        <f>IFERROR(VLOOKUP(Tabla1[[#This Row],[RUTA]],Tabla2[[#All],[RUTA]:[CONDUCTOR]],4,0),"")</f>
        <v>YHIM</v>
      </c>
      <c r="J135" s="49" t="str">
        <f>IFERROR(VLOOKUP(Tabla1[[#This Row],[RUTA]],Tabla2[#All],5,0),"")</f>
        <v>WILIAM</v>
      </c>
      <c r="K135" s="50" t="s">
        <v>16</v>
      </c>
      <c r="L135" s="52"/>
      <c r="M135" s="53"/>
      <c r="N135" s="54" t="str">
        <f>IF(Tabla1[[#This Row],[ESTADO]]="ENTREGADO",IF(Tabla1[[#This Row],[OBSERVACIÓN]]="OK","SI","NO"),"")</f>
        <v/>
      </c>
    </row>
    <row r="136" spans="1:14" x14ac:dyDescent="0.2">
      <c r="A136" s="48">
        <v>45162</v>
      </c>
      <c r="B136" s="49" t="s">
        <v>216</v>
      </c>
      <c r="C136" s="49">
        <v>207</v>
      </c>
      <c r="D136" s="49">
        <v>10</v>
      </c>
      <c r="E136" s="49" t="str">
        <f>VLOOKUP(Tabla1[[#This Row],[ID TIENDA]],Guias[],2,0)</f>
        <v>T994-00165100</v>
      </c>
      <c r="F136" s="51">
        <v>2387.8000000000002</v>
      </c>
      <c r="G136" s="49" t="str">
        <f>IFERROR(VLOOKUP(Tabla1[[#This Row],[RUTA]],Tabla2[#All],3,0),"")</f>
        <v>PALOMINO</v>
      </c>
      <c r="H136" s="49" t="str">
        <f>IFERROR(VLOOKUP(Tabla1[[#This Row],[RUTA]],Tabla2[[#All],[RUTA]:[PLACAS]],2,0),"")</f>
        <v>BMH-890</v>
      </c>
      <c r="I136" s="49" t="str">
        <f>IFERROR(VLOOKUP(Tabla1[[#This Row],[RUTA]],Tabla2[[#All],[RUTA]:[CONDUCTOR]],4,0),"")</f>
        <v>YHIM</v>
      </c>
      <c r="J136" s="49" t="str">
        <f>IFERROR(VLOOKUP(Tabla1[[#This Row],[RUTA]],Tabla2[#All],5,0),"")</f>
        <v>WILIAM</v>
      </c>
      <c r="K136" s="50" t="s">
        <v>16</v>
      </c>
      <c r="L136" s="52"/>
      <c r="M136" s="53"/>
      <c r="N136" s="54" t="str">
        <f>IF(Tabla1[[#This Row],[ESTADO]]="ENTREGADO",IF(Tabla1[[#This Row],[OBSERVACIÓN]]="OK","SI","NO"),"")</f>
        <v/>
      </c>
    </row>
    <row r="137" spans="1:14" x14ac:dyDescent="0.2">
      <c r="A137" s="48">
        <v>45162</v>
      </c>
      <c r="B137" s="49" t="s">
        <v>217</v>
      </c>
      <c r="C137" s="49">
        <v>131</v>
      </c>
      <c r="D137" s="49">
        <v>10</v>
      </c>
      <c r="E137" s="49" t="str">
        <f>VLOOKUP(Tabla1[[#This Row],[ID TIENDA]],Guias[],2,0)</f>
        <v>T994-00165025</v>
      </c>
      <c r="F137" s="51">
        <v>2269.58</v>
      </c>
      <c r="G137" s="49" t="str">
        <f>IFERROR(VLOOKUP(Tabla1[[#This Row],[RUTA]],Tabla2[#All],3,0),"")</f>
        <v>PALOMINO</v>
      </c>
      <c r="H137" s="49" t="str">
        <f>IFERROR(VLOOKUP(Tabla1[[#This Row],[RUTA]],Tabla2[[#All],[RUTA]:[PLACAS]],2,0),"")</f>
        <v>BMH-890</v>
      </c>
      <c r="I137" s="49" t="str">
        <f>IFERROR(VLOOKUP(Tabla1[[#This Row],[RUTA]],Tabla2[[#All],[RUTA]:[CONDUCTOR]],4,0),"")</f>
        <v>YHIM</v>
      </c>
      <c r="J137" s="49" t="str">
        <f>IFERROR(VLOOKUP(Tabla1[[#This Row],[RUTA]],Tabla2[#All],5,0),"")</f>
        <v>WILIAM</v>
      </c>
      <c r="K137" s="50" t="s">
        <v>16</v>
      </c>
      <c r="L137" s="52"/>
      <c r="M137" s="53"/>
      <c r="N137" s="54" t="str">
        <f>IF(Tabla1[[#This Row],[ESTADO]]="ENTREGADO",IF(Tabla1[[#This Row],[OBSERVACIÓN]]="OK","SI","NO"),"")</f>
        <v/>
      </c>
    </row>
    <row r="138" spans="1:14" x14ac:dyDescent="0.2">
      <c r="A138" s="48">
        <v>45162</v>
      </c>
      <c r="B138" s="49" t="s">
        <v>218</v>
      </c>
      <c r="C138" s="49">
        <v>134</v>
      </c>
      <c r="D138" s="49">
        <v>10</v>
      </c>
      <c r="E138" s="49" t="str">
        <f>VLOOKUP(Tabla1[[#This Row],[ID TIENDA]],Guias[],2,0)</f>
        <v>T994-00165090</v>
      </c>
      <c r="F138" s="51">
        <v>314.66000000000003</v>
      </c>
      <c r="G138" s="49" t="str">
        <f>IFERROR(VLOOKUP(Tabla1[[#This Row],[RUTA]],Tabla2[#All],3,0),"")</f>
        <v>PALOMINO</v>
      </c>
      <c r="H138" s="49" t="str">
        <f>IFERROR(VLOOKUP(Tabla1[[#This Row],[RUTA]],Tabla2[[#All],[RUTA]:[PLACAS]],2,0),"")</f>
        <v>BMH-890</v>
      </c>
      <c r="I138" s="49" t="str">
        <f>IFERROR(VLOOKUP(Tabla1[[#This Row],[RUTA]],Tabla2[[#All],[RUTA]:[CONDUCTOR]],4,0),"")</f>
        <v>YHIM</v>
      </c>
      <c r="J138" s="49" t="str">
        <f>IFERROR(VLOOKUP(Tabla1[[#This Row],[RUTA]],Tabla2[#All],5,0),"")</f>
        <v>WILIAM</v>
      </c>
      <c r="K138" s="50" t="s">
        <v>16</v>
      </c>
      <c r="L138" s="52"/>
      <c r="M138" s="53"/>
      <c r="N138" s="54" t="str">
        <f>IF(Tabla1[[#This Row],[ESTADO]]="ENTREGADO",IF(Tabla1[[#This Row],[OBSERVACIÓN]]="OK","SI","NO"),"")</f>
        <v/>
      </c>
    </row>
    <row r="139" spans="1:14" x14ac:dyDescent="0.2">
      <c r="A139" s="48">
        <v>45162</v>
      </c>
      <c r="B139" s="49" t="s">
        <v>219</v>
      </c>
      <c r="C139" s="49">
        <v>361</v>
      </c>
      <c r="D139" s="49">
        <v>10</v>
      </c>
      <c r="E139" s="49" t="str">
        <f>VLOOKUP(Tabla1[[#This Row],[ID TIENDA]],Guias[],2,0)</f>
        <v>T994-00165171</v>
      </c>
      <c r="F139" s="51">
        <v>2145.17</v>
      </c>
      <c r="G139" s="49" t="str">
        <f>IFERROR(VLOOKUP(Tabla1[[#This Row],[RUTA]],Tabla2[#All],3,0),"")</f>
        <v>PALOMINO</v>
      </c>
      <c r="H139" s="49" t="str">
        <f>IFERROR(VLOOKUP(Tabla1[[#This Row],[RUTA]],Tabla2[[#All],[RUTA]:[PLACAS]],2,0),"")</f>
        <v>BMH-890</v>
      </c>
      <c r="I139" s="49" t="str">
        <f>IFERROR(VLOOKUP(Tabla1[[#This Row],[RUTA]],Tabla2[[#All],[RUTA]:[CONDUCTOR]],4,0),"")</f>
        <v>YHIM</v>
      </c>
      <c r="J139" s="49" t="str">
        <f>IFERROR(VLOOKUP(Tabla1[[#This Row],[RUTA]],Tabla2[#All],5,0),"")</f>
        <v>WILIAM</v>
      </c>
      <c r="K139" s="50" t="s">
        <v>16</v>
      </c>
      <c r="L139" s="52"/>
      <c r="M139" s="53"/>
      <c r="N139" s="54" t="str">
        <f>IF(Tabla1[[#This Row],[ESTADO]]="ENTREGADO",IF(Tabla1[[#This Row],[OBSERVACIÓN]]="OK","SI","NO"),"")</f>
        <v/>
      </c>
    </row>
    <row r="140" spans="1:14" x14ac:dyDescent="0.2">
      <c r="A140" s="48">
        <v>45162</v>
      </c>
      <c r="B140" s="49" t="s">
        <v>220</v>
      </c>
      <c r="C140" s="49">
        <v>53</v>
      </c>
      <c r="D140" s="49">
        <v>10</v>
      </c>
      <c r="E140" s="49" t="str">
        <f>VLOOKUP(Tabla1[[#This Row],[ID TIENDA]],Guias[],2,0)</f>
        <v>9994-005345162TCG</v>
      </c>
      <c r="F140" s="51">
        <v>1683.3</v>
      </c>
      <c r="G140" s="49" t="str">
        <f>IFERROR(VLOOKUP(Tabla1[[#This Row],[RUTA]],Tabla2[#All],3,0),"")</f>
        <v>PALOMINO</v>
      </c>
      <c r="H140" s="49" t="str">
        <f>IFERROR(VLOOKUP(Tabla1[[#This Row],[RUTA]],Tabla2[[#All],[RUTA]:[PLACAS]],2,0),"")</f>
        <v>BMH-890</v>
      </c>
      <c r="I140" s="49" t="str">
        <f>IFERROR(VLOOKUP(Tabla1[[#This Row],[RUTA]],Tabla2[[#All],[RUTA]:[CONDUCTOR]],4,0),"")</f>
        <v>YHIM</v>
      </c>
      <c r="J140" s="49" t="str">
        <f>IFERROR(VLOOKUP(Tabla1[[#This Row],[RUTA]],Tabla2[#All],5,0),"")</f>
        <v>WILIAM</v>
      </c>
      <c r="K140" s="50" t="s">
        <v>16</v>
      </c>
      <c r="L140" s="52"/>
      <c r="M140" s="53"/>
      <c r="N140" s="54" t="str">
        <f>IF(Tabla1[[#This Row],[ESTADO]]="ENTREGADO",IF(Tabla1[[#This Row],[OBSERVACIÓN]]="OK","SI","NO"),"")</f>
        <v/>
      </c>
    </row>
    <row r="141" spans="1:14" x14ac:dyDescent="0.2">
      <c r="A141" s="48">
        <v>45162</v>
      </c>
      <c r="B141" s="49" t="s">
        <v>221</v>
      </c>
      <c r="C141" s="49">
        <v>48</v>
      </c>
      <c r="D141" s="49">
        <v>10</v>
      </c>
      <c r="E141" s="49" t="str">
        <f>VLOOKUP(Tabla1[[#This Row],[ID TIENDA]],Guias[],2,0)</f>
        <v>T994-00165124</v>
      </c>
      <c r="F141" s="51">
        <v>2131.61</v>
      </c>
      <c r="G141" s="49" t="str">
        <f>IFERROR(VLOOKUP(Tabla1[[#This Row],[RUTA]],Tabla2[#All],3,0),"")</f>
        <v>PALOMINO</v>
      </c>
      <c r="H141" s="49" t="str">
        <f>IFERROR(VLOOKUP(Tabla1[[#This Row],[RUTA]],Tabla2[[#All],[RUTA]:[PLACAS]],2,0),"")</f>
        <v>BMH-890</v>
      </c>
      <c r="I141" s="49" t="str">
        <f>IFERROR(VLOOKUP(Tabla1[[#This Row],[RUTA]],Tabla2[[#All],[RUTA]:[CONDUCTOR]],4,0),"")</f>
        <v>YHIM</v>
      </c>
      <c r="J141" s="49" t="str">
        <f>IFERROR(VLOOKUP(Tabla1[[#This Row],[RUTA]],Tabla2[#All],5,0),"")</f>
        <v>WILIAM</v>
      </c>
      <c r="K141" s="50" t="s">
        <v>16</v>
      </c>
      <c r="L141" s="52"/>
      <c r="M141" s="53"/>
      <c r="N141" s="54" t="str">
        <f>IF(Tabla1[[#This Row],[ESTADO]]="ENTREGADO",IF(Tabla1[[#This Row],[OBSERVACIÓN]]="OK","SI","NO"),"")</f>
        <v/>
      </c>
    </row>
    <row r="142" spans="1:14" x14ac:dyDescent="0.2">
      <c r="A142" s="48">
        <v>45162</v>
      </c>
      <c r="B142" s="49" t="s">
        <v>222</v>
      </c>
      <c r="C142" s="49">
        <v>35</v>
      </c>
      <c r="D142" s="49">
        <v>10</v>
      </c>
      <c r="E142" s="49" t="str">
        <f>VLOOKUP(Tabla1[[#This Row],[ID TIENDA]],Guias[],2,0)</f>
        <v>T994-00164996</v>
      </c>
      <c r="F142" s="51">
        <v>1524.32</v>
      </c>
      <c r="G142" s="49" t="str">
        <f>IFERROR(VLOOKUP(Tabla1[[#This Row],[RUTA]],Tabla2[#All],3,0),"")</f>
        <v>PALOMINO</v>
      </c>
      <c r="H142" s="49" t="str">
        <f>IFERROR(VLOOKUP(Tabla1[[#This Row],[RUTA]],Tabla2[[#All],[RUTA]:[PLACAS]],2,0),"")</f>
        <v>BMH-890</v>
      </c>
      <c r="I142" s="49" t="str">
        <f>IFERROR(VLOOKUP(Tabla1[[#This Row],[RUTA]],Tabla2[[#All],[RUTA]:[CONDUCTOR]],4,0),"")</f>
        <v>YHIM</v>
      </c>
      <c r="J142" s="49" t="str">
        <f>IFERROR(VLOOKUP(Tabla1[[#This Row],[RUTA]],Tabla2[#All],5,0),"")</f>
        <v>WILIAM</v>
      </c>
      <c r="K142" s="50" t="s">
        <v>16</v>
      </c>
      <c r="L142" s="52"/>
      <c r="M142" s="53"/>
      <c r="N142" s="54" t="str">
        <f>IF(Tabla1[[#This Row],[ESTADO]]="ENTREGADO",IF(Tabla1[[#This Row],[OBSERVACIÓN]]="OK","SI","NO"),"")</f>
        <v/>
      </c>
    </row>
    <row r="143" spans="1:14" x14ac:dyDescent="0.2">
      <c r="A143" s="48">
        <v>45162</v>
      </c>
      <c r="B143" s="49" t="s">
        <v>60</v>
      </c>
      <c r="C143" s="49">
        <v>229</v>
      </c>
      <c r="D143" s="49">
        <v>10</v>
      </c>
      <c r="E143" s="49" t="str">
        <f>VLOOKUP(Tabla1[[#This Row],[ID TIENDA]],Guias[],2,0)</f>
        <v>T994-00164999</v>
      </c>
      <c r="F143" s="51">
        <v>2957.46</v>
      </c>
      <c r="G143" s="49" t="str">
        <f>IFERROR(VLOOKUP(Tabla1[[#This Row],[RUTA]],Tabla2[#All],3,0),"")</f>
        <v>PALOMINO</v>
      </c>
      <c r="H143" s="49" t="str">
        <f>IFERROR(VLOOKUP(Tabla1[[#This Row],[RUTA]],Tabla2[[#All],[RUTA]:[PLACAS]],2,0),"")</f>
        <v>BMH-890</v>
      </c>
      <c r="I143" s="49" t="str">
        <f>IFERROR(VLOOKUP(Tabla1[[#This Row],[RUTA]],Tabla2[[#All],[RUTA]:[CONDUCTOR]],4,0),"")</f>
        <v>YHIM</v>
      </c>
      <c r="J143" s="49" t="str">
        <f>IFERROR(VLOOKUP(Tabla1[[#This Row],[RUTA]],Tabla2[#All],5,0),"")</f>
        <v>WILIAM</v>
      </c>
      <c r="K143" s="50" t="s">
        <v>16</v>
      </c>
      <c r="L143" s="52"/>
      <c r="M143" s="53"/>
      <c r="N143" s="54" t="str">
        <f>IF(Tabla1[[#This Row],[ESTADO]]="ENTREGADO",IF(Tabla1[[#This Row],[OBSERVACIÓN]]="OK","SI","NO"),"")</f>
        <v/>
      </c>
    </row>
    <row r="144" spans="1:14" x14ac:dyDescent="0.2">
      <c r="A144" s="48">
        <v>45162</v>
      </c>
      <c r="B144" s="49" t="s">
        <v>223</v>
      </c>
      <c r="C144" s="49">
        <v>515</v>
      </c>
      <c r="D144" s="49">
        <v>12</v>
      </c>
      <c r="E144" s="49" t="str">
        <f>VLOOKUP(Tabla1[[#This Row],[ID TIENDA]],Guias[],2,0)</f>
        <v>T994-00165058</v>
      </c>
      <c r="F144" s="51">
        <v>2438.73</v>
      </c>
      <c r="G144" s="49" t="str">
        <f>IFERROR(VLOOKUP(Tabla1[[#This Row],[RUTA]],Tabla2[#All],3,0),"")</f>
        <v>CEVA</v>
      </c>
      <c r="H144" s="49" t="str">
        <f>IFERROR(VLOOKUP(Tabla1[[#This Row],[RUTA]],Tabla2[[#All],[RUTA]:[PLACAS]],2,0),"")</f>
        <v>BTX-945</v>
      </c>
      <c r="I144" s="49" t="str">
        <f>IFERROR(VLOOKUP(Tabla1[[#This Row],[RUTA]],Tabla2[[#All],[RUTA]:[CONDUCTOR]],4,0),"")</f>
        <v>JESUS</v>
      </c>
      <c r="J144" s="49" t="str">
        <f>IFERROR(VLOOKUP(Tabla1[[#This Row],[RUTA]],Tabla2[#All],5,0),"")</f>
        <v>CEVA</v>
      </c>
      <c r="K144" s="50" t="s">
        <v>16</v>
      </c>
      <c r="L144" s="52"/>
      <c r="M144" s="53"/>
      <c r="N144" s="54" t="str">
        <f>IF(Tabla1[[#This Row],[ESTADO]]="ENTREGADO",IF(Tabla1[[#This Row],[OBSERVACIÓN]]="OK","SI","NO"),"")</f>
        <v/>
      </c>
    </row>
    <row r="145" spans="1:14" x14ac:dyDescent="0.2">
      <c r="A145" s="48">
        <v>45162</v>
      </c>
      <c r="B145" s="49" t="s">
        <v>84</v>
      </c>
      <c r="C145" s="49">
        <v>198</v>
      </c>
      <c r="D145" s="49">
        <v>12</v>
      </c>
      <c r="E145" s="49" t="str">
        <f>VLOOKUP(Tabla1[[#This Row],[ID TIENDA]],Guias[],2,0)</f>
        <v>T994-00165067</v>
      </c>
      <c r="F145" s="51">
        <v>2377.29</v>
      </c>
      <c r="G145" s="49" t="str">
        <f>IFERROR(VLOOKUP(Tabla1[[#This Row],[RUTA]],Tabla2[#All],3,0),"")</f>
        <v>CEVA</v>
      </c>
      <c r="H145" s="49" t="str">
        <f>IFERROR(VLOOKUP(Tabla1[[#This Row],[RUTA]],Tabla2[[#All],[RUTA]:[PLACAS]],2,0),"")</f>
        <v>BTX-945</v>
      </c>
      <c r="I145" s="49" t="str">
        <f>IFERROR(VLOOKUP(Tabla1[[#This Row],[RUTA]],Tabla2[[#All],[RUTA]:[CONDUCTOR]],4,0),"")</f>
        <v>JESUS</v>
      </c>
      <c r="J145" s="49" t="str">
        <f>IFERROR(VLOOKUP(Tabla1[[#This Row],[RUTA]],Tabla2[#All],5,0),"")</f>
        <v>CEVA</v>
      </c>
      <c r="K145" s="50" t="s">
        <v>16</v>
      </c>
      <c r="L145" s="52"/>
      <c r="M145" s="53"/>
      <c r="N145" s="54" t="str">
        <f>IF(Tabla1[[#This Row],[ESTADO]]="ENTREGADO",IF(Tabla1[[#This Row],[OBSERVACIÓN]]="OK","SI","NO"),"")</f>
        <v/>
      </c>
    </row>
    <row r="146" spans="1:14" x14ac:dyDescent="0.2">
      <c r="A146" s="48">
        <v>45162</v>
      </c>
      <c r="B146" s="49" t="s">
        <v>224</v>
      </c>
      <c r="C146" s="49">
        <v>396</v>
      </c>
      <c r="D146" s="49">
        <v>12</v>
      </c>
      <c r="E146" s="49" t="str">
        <f>VLOOKUP(Tabla1[[#This Row],[ID TIENDA]],Guias[],2,0)</f>
        <v>T994-00164986</v>
      </c>
      <c r="F146" s="51">
        <v>1933.05</v>
      </c>
      <c r="G146" s="49" t="str">
        <f>IFERROR(VLOOKUP(Tabla1[[#This Row],[RUTA]],Tabla2[#All],3,0),"")</f>
        <v>CEVA</v>
      </c>
      <c r="H146" s="49" t="str">
        <f>IFERROR(VLOOKUP(Tabla1[[#This Row],[RUTA]],Tabla2[[#All],[RUTA]:[PLACAS]],2,0),"")</f>
        <v>BTX-945</v>
      </c>
      <c r="I146" s="49" t="str">
        <f>IFERROR(VLOOKUP(Tabla1[[#This Row],[RUTA]],Tabla2[[#All],[RUTA]:[CONDUCTOR]],4,0),"")</f>
        <v>JESUS</v>
      </c>
      <c r="J146" s="49" t="str">
        <f>IFERROR(VLOOKUP(Tabla1[[#This Row],[RUTA]],Tabla2[#All],5,0),"")</f>
        <v>CEVA</v>
      </c>
      <c r="K146" s="50" t="s">
        <v>16</v>
      </c>
      <c r="L146" s="52"/>
      <c r="M146" s="53"/>
      <c r="N146" s="54" t="str">
        <f>IF(Tabla1[[#This Row],[ESTADO]]="ENTREGADO",IF(Tabla1[[#This Row],[OBSERVACIÓN]]="OK","SI","NO"),"")</f>
        <v/>
      </c>
    </row>
    <row r="147" spans="1:14" x14ac:dyDescent="0.2">
      <c r="A147" s="48">
        <v>45162</v>
      </c>
      <c r="B147" s="49" t="s">
        <v>225</v>
      </c>
      <c r="C147" s="49">
        <v>269</v>
      </c>
      <c r="D147" s="49">
        <v>12</v>
      </c>
      <c r="E147" s="49" t="str">
        <f>VLOOKUP(Tabla1[[#This Row],[ID TIENDA]],Guias[],2,0)</f>
        <v>T994-00165040</v>
      </c>
      <c r="F147" s="51">
        <v>2214.41</v>
      </c>
      <c r="G147" s="49" t="str">
        <f>IFERROR(VLOOKUP(Tabla1[[#This Row],[RUTA]],Tabla2[#All],3,0),"")</f>
        <v>CEVA</v>
      </c>
      <c r="H147" s="49" t="str">
        <f>IFERROR(VLOOKUP(Tabla1[[#This Row],[RUTA]],Tabla2[[#All],[RUTA]:[PLACAS]],2,0),"")</f>
        <v>BTX-945</v>
      </c>
      <c r="I147" s="49" t="str">
        <f>IFERROR(VLOOKUP(Tabla1[[#This Row],[RUTA]],Tabla2[[#All],[RUTA]:[CONDUCTOR]],4,0),"")</f>
        <v>JESUS</v>
      </c>
      <c r="J147" s="49" t="str">
        <f>IFERROR(VLOOKUP(Tabla1[[#This Row],[RUTA]],Tabla2[#All],5,0),"")</f>
        <v>CEVA</v>
      </c>
      <c r="K147" s="50" t="s">
        <v>16</v>
      </c>
      <c r="L147" s="52"/>
      <c r="M147" s="53"/>
      <c r="N147" s="54" t="str">
        <f>IF(Tabla1[[#This Row],[ESTADO]]="ENTREGADO",IF(Tabla1[[#This Row],[OBSERVACIÓN]]="OK","SI","NO"),"")</f>
        <v/>
      </c>
    </row>
    <row r="148" spans="1:14" x14ac:dyDescent="0.2">
      <c r="A148" s="48">
        <v>45162</v>
      </c>
      <c r="B148" s="49" t="s">
        <v>226</v>
      </c>
      <c r="C148" s="49">
        <v>208</v>
      </c>
      <c r="D148" s="49">
        <v>12</v>
      </c>
      <c r="E148" s="49" t="str">
        <f>VLOOKUP(Tabla1[[#This Row],[ID TIENDA]],Guias[],2,0)</f>
        <v>T994-00165088</v>
      </c>
      <c r="F148" s="51">
        <v>1752.2</v>
      </c>
      <c r="G148" s="49" t="str">
        <f>IFERROR(VLOOKUP(Tabla1[[#This Row],[RUTA]],Tabla2[#All],3,0),"")</f>
        <v>CEVA</v>
      </c>
      <c r="H148" s="49" t="str">
        <f>IFERROR(VLOOKUP(Tabla1[[#This Row],[RUTA]],Tabla2[[#All],[RUTA]:[PLACAS]],2,0),"")</f>
        <v>BTX-945</v>
      </c>
      <c r="I148" s="49" t="str">
        <f>IFERROR(VLOOKUP(Tabla1[[#This Row],[RUTA]],Tabla2[[#All],[RUTA]:[CONDUCTOR]],4,0),"")</f>
        <v>JESUS</v>
      </c>
      <c r="J148" s="49" t="str">
        <f>IFERROR(VLOOKUP(Tabla1[[#This Row],[RUTA]],Tabla2[#All],5,0),"")</f>
        <v>CEVA</v>
      </c>
      <c r="K148" s="50" t="s">
        <v>16</v>
      </c>
      <c r="L148" s="52"/>
      <c r="M148" s="53"/>
      <c r="N148" s="54" t="str">
        <f>IF(Tabla1[[#This Row],[ESTADO]]="ENTREGADO",IF(Tabla1[[#This Row],[OBSERVACIÓN]]="OK","SI","NO"),"")</f>
        <v/>
      </c>
    </row>
    <row r="149" spans="1:14" x14ac:dyDescent="0.2">
      <c r="A149" s="48">
        <v>45162</v>
      </c>
      <c r="B149" s="49" t="s">
        <v>227</v>
      </c>
      <c r="C149" s="49">
        <v>163</v>
      </c>
      <c r="D149" s="49">
        <v>12</v>
      </c>
      <c r="E149" s="49" t="str">
        <f>VLOOKUP(Tabla1[[#This Row],[ID TIENDA]],Guias[],2,0)</f>
        <v>T994-00165074</v>
      </c>
      <c r="F149" s="51">
        <v>1501.69</v>
      </c>
      <c r="G149" s="49" t="str">
        <f>IFERROR(VLOOKUP(Tabla1[[#This Row],[RUTA]],Tabla2[#All],3,0),"")</f>
        <v>CEVA</v>
      </c>
      <c r="H149" s="49" t="str">
        <f>IFERROR(VLOOKUP(Tabla1[[#This Row],[RUTA]],Tabla2[[#All],[RUTA]:[PLACAS]],2,0),"")</f>
        <v>BTX-945</v>
      </c>
      <c r="I149" s="49" t="str">
        <f>IFERROR(VLOOKUP(Tabla1[[#This Row],[RUTA]],Tabla2[[#All],[RUTA]:[CONDUCTOR]],4,0),"")</f>
        <v>JESUS</v>
      </c>
      <c r="J149" s="49" t="str">
        <f>IFERROR(VLOOKUP(Tabla1[[#This Row],[RUTA]],Tabla2[#All],5,0),"")</f>
        <v>CEVA</v>
      </c>
      <c r="K149" s="50" t="s">
        <v>16</v>
      </c>
      <c r="L149" s="52"/>
      <c r="M149" s="53"/>
      <c r="N149" s="54" t="str">
        <f>IF(Tabla1[[#This Row],[ESTADO]]="ENTREGADO",IF(Tabla1[[#This Row],[OBSERVACIÓN]]="OK","SI","NO"),"")</f>
        <v/>
      </c>
    </row>
    <row r="150" spans="1:14" x14ac:dyDescent="0.2">
      <c r="A150" s="48">
        <v>45162</v>
      </c>
      <c r="B150" s="49" t="s">
        <v>228</v>
      </c>
      <c r="C150" s="49">
        <v>151</v>
      </c>
      <c r="D150" s="49">
        <v>12</v>
      </c>
      <c r="E150" s="49" t="str">
        <f>VLOOKUP(Tabla1[[#This Row],[ID TIENDA]],Guias[],2,0)</f>
        <v>T994-00165023</v>
      </c>
      <c r="F150" s="51">
        <v>2622.12</v>
      </c>
      <c r="G150" s="49" t="str">
        <f>IFERROR(VLOOKUP(Tabla1[[#This Row],[RUTA]],Tabla2[#All],3,0),"")</f>
        <v>CEVA</v>
      </c>
      <c r="H150" s="49" t="str">
        <f>IFERROR(VLOOKUP(Tabla1[[#This Row],[RUTA]],Tabla2[[#All],[RUTA]:[PLACAS]],2,0),"")</f>
        <v>BTX-945</v>
      </c>
      <c r="I150" s="49" t="str">
        <f>IFERROR(VLOOKUP(Tabla1[[#This Row],[RUTA]],Tabla2[[#All],[RUTA]:[CONDUCTOR]],4,0),"")</f>
        <v>JESUS</v>
      </c>
      <c r="J150" s="49" t="str">
        <f>IFERROR(VLOOKUP(Tabla1[[#This Row],[RUTA]],Tabla2[#All],5,0),"")</f>
        <v>CEVA</v>
      </c>
      <c r="K150" s="50" t="s">
        <v>16</v>
      </c>
      <c r="L150" s="52"/>
      <c r="M150" s="53"/>
      <c r="N150" s="54" t="str">
        <f>IF(Tabla1[[#This Row],[ESTADO]]="ENTREGADO",IF(Tabla1[[#This Row],[OBSERVACIÓN]]="OK","SI","NO"),"")</f>
        <v/>
      </c>
    </row>
    <row r="151" spans="1:14" x14ac:dyDescent="0.2">
      <c r="A151" s="48">
        <v>45162</v>
      </c>
      <c r="B151" s="49" t="s">
        <v>229</v>
      </c>
      <c r="C151" s="49">
        <v>352</v>
      </c>
      <c r="D151" s="49">
        <v>12</v>
      </c>
      <c r="E151" s="49" t="str">
        <f>VLOOKUP(Tabla1[[#This Row],[ID TIENDA]],Guias[],2,0)</f>
        <v>T994-00164989</v>
      </c>
      <c r="F151" s="51">
        <v>2147.1999999999998</v>
      </c>
      <c r="G151" s="49" t="str">
        <f>IFERROR(VLOOKUP(Tabla1[[#This Row],[RUTA]],Tabla2[#All],3,0),"")</f>
        <v>CEVA</v>
      </c>
      <c r="H151" s="49" t="str">
        <f>IFERROR(VLOOKUP(Tabla1[[#This Row],[RUTA]],Tabla2[[#All],[RUTA]:[PLACAS]],2,0),"")</f>
        <v>BTX-945</v>
      </c>
      <c r="I151" s="49" t="str">
        <f>IFERROR(VLOOKUP(Tabla1[[#This Row],[RUTA]],Tabla2[[#All],[RUTA]:[CONDUCTOR]],4,0),"")</f>
        <v>JESUS</v>
      </c>
      <c r="J151" s="49" t="str">
        <f>IFERROR(VLOOKUP(Tabla1[[#This Row],[RUTA]],Tabla2[#All],5,0),"")</f>
        <v>CEVA</v>
      </c>
      <c r="K151" s="50" t="s">
        <v>16</v>
      </c>
      <c r="L151" s="52"/>
      <c r="M151" s="53"/>
      <c r="N151" s="54" t="str">
        <f>IF(Tabla1[[#This Row],[ESTADO]]="ENTREGADO",IF(Tabla1[[#This Row],[OBSERVACIÓN]]="OK","SI","NO"),"")</f>
        <v/>
      </c>
    </row>
    <row r="152" spans="1:14" x14ac:dyDescent="0.2">
      <c r="A152" s="48">
        <v>45162</v>
      </c>
      <c r="B152" s="49" t="s">
        <v>92</v>
      </c>
      <c r="C152" s="49">
        <v>196</v>
      </c>
      <c r="D152" s="49">
        <v>12</v>
      </c>
      <c r="E152" s="49" t="str">
        <f>VLOOKUP(Tabla1[[#This Row],[ID TIENDA]],Guias[],2,0)</f>
        <v>T994-00165024</v>
      </c>
      <c r="F152" s="51">
        <v>2307.8000000000002</v>
      </c>
      <c r="G152" s="49" t="str">
        <f>IFERROR(VLOOKUP(Tabla1[[#This Row],[RUTA]],Tabla2[#All],3,0),"")</f>
        <v>CEVA</v>
      </c>
      <c r="H152" s="49" t="str">
        <f>IFERROR(VLOOKUP(Tabla1[[#This Row],[RUTA]],Tabla2[[#All],[RUTA]:[PLACAS]],2,0),"")</f>
        <v>BTX-945</v>
      </c>
      <c r="I152" s="49" t="str">
        <f>IFERROR(VLOOKUP(Tabla1[[#This Row],[RUTA]],Tabla2[[#All],[RUTA]:[CONDUCTOR]],4,0),"")</f>
        <v>JESUS</v>
      </c>
      <c r="J152" s="49" t="str">
        <f>IFERROR(VLOOKUP(Tabla1[[#This Row],[RUTA]],Tabla2[#All],5,0),"")</f>
        <v>CEVA</v>
      </c>
      <c r="K152" s="50" t="s">
        <v>16</v>
      </c>
      <c r="L152" s="52"/>
      <c r="M152" s="53"/>
      <c r="N152" s="54" t="str">
        <f>IF(Tabla1[[#This Row],[ESTADO]]="ENTREGADO",IF(Tabla1[[#This Row],[OBSERVACIÓN]]="OK","SI","NO"),"")</f>
        <v/>
      </c>
    </row>
    <row r="153" spans="1:14" x14ac:dyDescent="0.2">
      <c r="A153" s="48">
        <v>45162</v>
      </c>
      <c r="B153" s="49" t="s">
        <v>230</v>
      </c>
      <c r="C153" s="49">
        <v>408</v>
      </c>
      <c r="D153" s="49">
        <v>12</v>
      </c>
      <c r="E153" s="49" t="str">
        <f>VLOOKUP(Tabla1[[#This Row],[ID TIENDA]],Guias[],2,0)</f>
        <v>T994-00165108</v>
      </c>
      <c r="F153" s="51">
        <v>1337.46</v>
      </c>
      <c r="G153" s="49" t="str">
        <f>IFERROR(VLOOKUP(Tabla1[[#This Row],[RUTA]],Tabla2[#All],3,0),"")</f>
        <v>CEVA</v>
      </c>
      <c r="H153" s="49" t="str">
        <f>IFERROR(VLOOKUP(Tabla1[[#This Row],[RUTA]],Tabla2[[#All],[RUTA]:[PLACAS]],2,0),"")</f>
        <v>BTX-945</v>
      </c>
      <c r="I153" s="49" t="str">
        <f>IFERROR(VLOOKUP(Tabla1[[#This Row],[RUTA]],Tabla2[[#All],[RUTA]:[CONDUCTOR]],4,0),"")</f>
        <v>JESUS</v>
      </c>
      <c r="J153" s="49" t="str">
        <f>IFERROR(VLOOKUP(Tabla1[[#This Row],[RUTA]],Tabla2[#All],5,0),"")</f>
        <v>CEVA</v>
      </c>
      <c r="K153" s="50" t="s">
        <v>16</v>
      </c>
      <c r="L153" s="52"/>
      <c r="M153" s="53"/>
      <c r="N153" s="54" t="str">
        <f>IF(Tabla1[[#This Row],[ESTADO]]="ENTREGADO",IF(Tabla1[[#This Row],[OBSERVACIÓN]]="OK","SI","NO"),"")</f>
        <v/>
      </c>
    </row>
    <row r="154" spans="1:14" x14ac:dyDescent="0.2">
      <c r="A154" s="48">
        <v>45162</v>
      </c>
      <c r="B154" s="49" t="s">
        <v>93</v>
      </c>
      <c r="C154" s="49">
        <v>30</v>
      </c>
      <c r="D154" s="49">
        <v>12</v>
      </c>
      <c r="E154" s="49" t="str">
        <f>VLOOKUP(Tabla1[[#This Row],[ID TIENDA]],Guias[],2,0)</f>
        <v>T994-00165118</v>
      </c>
      <c r="F154" s="51">
        <v>1643.48</v>
      </c>
      <c r="G154" s="49" t="str">
        <f>IFERROR(VLOOKUP(Tabla1[[#This Row],[RUTA]],Tabla2[#All],3,0),"")</f>
        <v>CEVA</v>
      </c>
      <c r="H154" s="49" t="str">
        <f>IFERROR(VLOOKUP(Tabla1[[#This Row],[RUTA]],Tabla2[[#All],[RUTA]:[PLACAS]],2,0),"")</f>
        <v>BTX-945</v>
      </c>
      <c r="I154" s="49" t="str">
        <f>IFERROR(VLOOKUP(Tabla1[[#This Row],[RUTA]],Tabla2[[#All],[RUTA]:[CONDUCTOR]],4,0),"")</f>
        <v>JESUS</v>
      </c>
      <c r="J154" s="49" t="str">
        <f>IFERROR(VLOOKUP(Tabla1[[#This Row],[RUTA]],Tabla2[#All],5,0),"")</f>
        <v>CEVA</v>
      </c>
      <c r="K154" s="50" t="s">
        <v>16</v>
      </c>
      <c r="L154" s="52"/>
      <c r="M154" s="53"/>
      <c r="N154" s="54" t="str">
        <f>IF(Tabla1[[#This Row],[ESTADO]]="ENTREGADO",IF(Tabla1[[#This Row],[OBSERVACIÓN]]="OK","SI","NO"),"")</f>
        <v/>
      </c>
    </row>
    <row r="155" spans="1:14" x14ac:dyDescent="0.2">
      <c r="A155" s="48">
        <v>45162</v>
      </c>
      <c r="B155" s="49" t="s">
        <v>231</v>
      </c>
      <c r="C155" s="49">
        <v>11</v>
      </c>
      <c r="D155" s="49">
        <v>12</v>
      </c>
      <c r="E155" s="49" t="str">
        <f>VLOOKUP(Tabla1[[#This Row],[ID TIENDA]],Guias[],2,0)</f>
        <v>T994-00165092</v>
      </c>
      <c r="F155" s="51">
        <v>2112.37</v>
      </c>
      <c r="G155" s="49" t="str">
        <f>IFERROR(VLOOKUP(Tabla1[[#This Row],[RUTA]],Tabla2[#All],3,0),"")</f>
        <v>CEVA</v>
      </c>
      <c r="H155" s="49" t="str">
        <f>IFERROR(VLOOKUP(Tabla1[[#This Row],[RUTA]],Tabla2[[#All],[RUTA]:[PLACAS]],2,0),"")</f>
        <v>BTX-945</v>
      </c>
      <c r="I155" s="49" t="str">
        <f>IFERROR(VLOOKUP(Tabla1[[#This Row],[RUTA]],Tabla2[[#All],[RUTA]:[CONDUCTOR]],4,0),"")</f>
        <v>JESUS</v>
      </c>
      <c r="J155" s="49" t="str">
        <f>IFERROR(VLOOKUP(Tabla1[[#This Row],[RUTA]],Tabla2[#All],5,0),"")</f>
        <v>CEVA</v>
      </c>
      <c r="K155" s="50" t="s">
        <v>16</v>
      </c>
      <c r="L155" s="52"/>
      <c r="M155" s="53"/>
      <c r="N155" s="54" t="str">
        <f>IF(Tabla1[[#This Row],[ESTADO]]="ENTREGADO",IF(Tabla1[[#This Row],[OBSERVACIÓN]]="OK","SI","NO"),"")</f>
        <v/>
      </c>
    </row>
    <row r="156" spans="1:14" x14ac:dyDescent="0.2">
      <c r="A156" s="48">
        <v>45162</v>
      </c>
      <c r="B156" s="49" t="s">
        <v>232</v>
      </c>
      <c r="C156" s="49">
        <v>237</v>
      </c>
      <c r="D156" s="49">
        <v>12</v>
      </c>
      <c r="E156" s="49" t="str">
        <f>VLOOKUP(Tabla1[[#This Row],[ID TIENDA]],Guias[],2,0)</f>
        <v>T994-00164977</v>
      </c>
      <c r="F156" s="51">
        <v>2205.5100000000002</v>
      </c>
      <c r="G156" s="49" t="str">
        <f>IFERROR(VLOOKUP(Tabla1[[#This Row],[RUTA]],Tabla2[#All],3,0),"")</f>
        <v>CEVA</v>
      </c>
      <c r="H156" s="49" t="str">
        <f>IFERROR(VLOOKUP(Tabla1[[#This Row],[RUTA]],Tabla2[[#All],[RUTA]:[PLACAS]],2,0),"")</f>
        <v>BTX-945</v>
      </c>
      <c r="I156" s="49" t="str">
        <f>IFERROR(VLOOKUP(Tabla1[[#This Row],[RUTA]],Tabla2[[#All],[RUTA]:[CONDUCTOR]],4,0),"")</f>
        <v>JESUS</v>
      </c>
      <c r="J156" s="49" t="str">
        <f>IFERROR(VLOOKUP(Tabla1[[#This Row],[RUTA]],Tabla2[#All],5,0),"")</f>
        <v>CEVA</v>
      </c>
      <c r="K156" s="50" t="s">
        <v>16</v>
      </c>
      <c r="L156" s="52"/>
      <c r="M156" s="53"/>
      <c r="N156" s="54" t="str">
        <f>IF(Tabla1[[#This Row],[ESTADO]]="ENTREGADO",IF(Tabla1[[#This Row],[OBSERVACIÓN]]="OK","SI","NO"),"")</f>
        <v/>
      </c>
    </row>
    <row r="157" spans="1:14" x14ac:dyDescent="0.2">
      <c r="A157" s="48">
        <v>45162</v>
      </c>
      <c r="B157" s="49" t="s">
        <v>233</v>
      </c>
      <c r="C157" s="49">
        <v>384</v>
      </c>
      <c r="D157" s="49">
        <v>13</v>
      </c>
      <c r="E157" s="49" t="str">
        <f>VLOOKUP(Tabla1[[#This Row],[ID TIENDA]],Guias[],2,0)</f>
        <v>T994-00164998</v>
      </c>
      <c r="F157" s="51">
        <v>3200</v>
      </c>
      <c r="G157" s="49" t="str">
        <f>IFERROR(VLOOKUP(Tabla1[[#This Row],[RUTA]],Tabla2[#All],3,0),"")</f>
        <v>CEVA</v>
      </c>
      <c r="H157" s="49" t="str">
        <f>IFERROR(VLOOKUP(Tabla1[[#This Row],[RUTA]],Tabla2[[#All],[RUTA]:[PLACAS]],2,0),"")</f>
        <v>BBW-874</v>
      </c>
      <c r="I157" s="49" t="str">
        <f>IFERROR(VLOOKUP(Tabla1[[#This Row],[RUTA]],Tabla2[[#All],[RUTA]:[CONDUCTOR]],4,0),"")</f>
        <v>BANCAYAN</v>
      </c>
      <c r="J157" s="49" t="str">
        <f>IFERROR(VLOOKUP(Tabla1[[#This Row],[RUTA]],Tabla2[#All],5,0),"")</f>
        <v>PAINO</v>
      </c>
      <c r="K157" s="50" t="s">
        <v>16</v>
      </c>
      <c r="L157" s="52"/>
      <c r="M157" s="53"/>
      <c r="N157" s="54" t="str">
        <f>IF(Tabla1[[#This Row],[ESTADO]]="ENTREGADO",IF(Tabla1[[#This Row],[OBSERVACIÓN]]="OK","SI","NO"),"")</f>
        <v/>
      </c>
    </row>
    <row r="158" spans="1:14" x14ac:dyDescent="0.2">
      <c r="A158" s="48">
        <v>45162</v>
      </c>
      <c r="B158" s="49" t="s">
        <v>234</v>
      </c>
      <c r="C158" s="49">
        <v>87</v>
      </c>
      <c r="D158" s="49">
        <v>13</v>
      </c>
      <c r="E158" s="49" t="str">
        <f>VLOOKUP(Tabla1[[#This Row],[ID TIENDA]],Guias[],2,0)</f>
        <v>T994-00165039</v>
      </c>
      <c r="F158" s="51">
        <v>2870.42</v>
      </c>
      <c r="G158" s="49" t="str">
        <f>IFERROR(VLOOKUP(Tabla1[[#This Row],[RUTA]],Tabla2[#All],3,0),"")</f>
        <v>CEVA</v>
      </c>
      <c r="H158" s="49" t="str">
        <f>IFERROR(VLOOKUP(Tabla1[[#This Row],[RUTA]],Tabla2[[#All],[RUTA]:[PLACAS]],2,0),"")</f>
        <v>BBW-874</v>
      </c>
      <c r="I158" s="49" t="str">
        <f>IFERROR(VLOOKUP(Tabla1[[#This Row],[RUTA]],Tabla2[[#All],[RUTA]:[CONDUCTOR]],4,0),"")</f>
        <v>BANCAYAN</v>
      </c>
      <c r="J158" s="49" t="str">
        <f>IFERROR(VLOOKUP(Tabla1[[#This Row],[RUTA]],Tabla2[#All],5,0),"")</f>
        <v>PAINO</v>
      </c>
      <c r="K158" s="50" t="s">
        <v>16</v>
      </c>
      <c r="L158" s="52"/>
      <c r="M158" s="53"/>
      <c r="N158" s="54" t="str">
        <f>IF(Tabla1[[#This Row],[ESTADO]]="ENTREGADO",IF(Tabla1[[#This Row],[OBSERVACIÓN]]="OK","SI","NO"),"")</f>
        <v/>
      </c>
    </row>
    <row r="159" spans="1:14" x14ac:dyDescent="0.2">
      <c r="A159" s="48">
        <v>45162</v>
      </c>
      <c r="B159" s="49" t="s">
        <v>235</v>
      </c>
      <c r="C159" s="49">
        <v>368</v>
      </c>
      <c r="D159" s="49">
        <v>13</v>
      </c>
      <c r="E159" s="49" t="str">
        <f>VLOOKUP(Tabla1[[#This Row],[ID TIENDA]],Guias[],2,0)</f>
        <v>T994-00165112</v>
      </c>
      <c r="F159" s="51">
        <v>1380.25</v>
      </c>
      <c r="G159" s="49" t="str">
        <f>IFERROR(VLOOKUP(Tabla1[[#This Row],[RUTA]],Tabla2[#All],3,0),"")</f>
        <v>CEVA</v>
      </c>
      <c r="H159" s="49" t="str">
        <f>IFERROR(VLOOKUP(Tabla1[[#This Row],[RUTA]],Tabla2[[#All],[RUTA]:[PLACAS]],2,0),"")</f>
        <v>BBW-874</v>
      </c>
      <c r="I159" s="49" t="str">
        <f>IFERROR(VLOOKUP(Tabla1[[#This Row],[RUTA]],Tabla2[[#All],[RUTA]:[CONDUCTOR]],4,0),"")</f>
        <v>BANCAYAN</v>
      </c>
      <c r="J159" s="49" t="str">
        <f>IFERROR(VLOOKUP(Tabla1[[#This Row],[RUTA]],Tabla2[#All],5,0),"")</f>
        <v>PAINO</v>
      </c>
      <c r="K159" s="50" t="s">
        <v>16</v>
      </c>
      <c r="L159" s="52"/>
      <c r="M159" s="53"/>
      <c r="N159" s="54" t="str">
        <f>IF(Tabla1[[#This Row],[ESTADO]]="ENTREGADO",IF(Tabla1[[#This Row],[OBSERVACIÓN]]="OK","SI","NO"),"")</f>
        <v/>
      </c>
    </row>
    <row r="160" spans="1:14" x14ac:dyDescent="0.2">
      <c r="A160" s="48">
        <v>45162</v>
      </c>
      <c r="B160" s="49" t="s">
        <v>236</v>
      </c>
      <c r="C160" s="49">
        <v>503</v>
      </c>
      <c r="D160" s="49">
        <v>13</v>
      </c>
      <c r="E160" s="49" t="str">
        <f>VLOOKUP(Tabla1[[#This Row],[ID TIENDA]],Guias[],2,0)</f>
        <v>T994-00165004</v>
      </c>
      <c r="F160" s="51">
        <v>1491.95</v>
      </c>
      <c r="G160" s="49" t="str">
        <f>IFERROR(VLOOKUP(Tabla1[[#This Row],[RUTA]],Tabla2[#All],3,0),"")</f>
        <v>CEVA</v>
      </c>
      <c r="H160" s="49" t="str">
        <f>IFERROR(VLOOKUP(Tabla1[[#This Row],[RUTA]],Tabla2[[#All],[RUTA]:[PLACAS]],2,0),"")</f>
        <v>BBW-874</v>
      </c>
      <c r="I160" s="49" t="str">
        <f>IFERROR(VLOOKUP(Tabla1[[#This Row],[RUTA]],Tabla2[[#All],[RUTA]:[CONDUCTOR]],4,0),"")</f>
        <v>BANCAYAN</v>
      </c>
      <c r="J160" s="49" t="str">
        <f>IFERROR(VLOOKUP(Tabla1[[#This Row],[RUTA]],Tabla2[#All],5,0),"")</f>
        <v>PAINO</v>
      </c>
      <c r="K160" s="50" t="s">
        <v>16</v>
      </c>
      <c r="L160" s="52"/>
      <c r="M160" s="53"/>
      <c r="N160" s="54" t="str">
        <f>IF(Tabla1[[#This Row],[ESTADO]]="ENTREGADO",IF(Tabla1[[#This Row],[OBSERVACIÓN]]="OK","SI","NO"),"")</f>
        <v/>
      </c>
    </row>
    <row r="161" spans="1:14" x14ac:dyDescent="0.2">
      <c r="A161" s="48">
        <v>45162</v>
      </c>
      <c r="B161" s="49" t="s">
        <v>237</v>
      </c>
      <c r="C161" s="49">
        <v>177</v>
      </c>
      <c r="D161" s="49">
        <v>13</v>
      </c>
      <c r="E161" s="49" t="str">
        <f>VLOOKUP(Tabla1[[#This Row],[ID TIENDA]],Guias[],2,0)</f>
        <v>T994-00165029</v>
      </c>
      <c r="F161" s="51">
        <v>2508.9</v>
      </c>
      <c r="G161" s="49" t="str">
        <f>IFERROR(VLOOKUP(Tabla1[[#This Row],[RUTA]],Tabla2[#All],3,0),"")</f>
        <v>CEVA</v>
      </c>
      <c r="H161" s="49" t="str">
        <f>IFERROR(VLOOKUP(Tabla1[[#This Row],[RUTA]],Tabla2[[#All],[RUTA]:[PLACAS]],2,0),"")</f>
        <v>BBW-874</v>
      </c>
      <c r="I161" s="49" t="str">
        <f>IFERROR(VLOOKUP(Tabla1[[#This Row],[RUTA]],Tabla2[[#All],[RUTA]:[CONDUCTOR]],4,0),"")</f>
        <v>BANCAYAN</v>
      </c>
      <c r="J161" s="49" t="str">
        <f>IFERROR(VLOOKUP(Tabla1[[#This Row],[RUTA]],Tabla2[#All],5,0),"")</f>
        <v>PAINO</v>
      </c>
      <c r="K161" s="50" t="s">
        <v>16</v>
      </c>
      <c r="L161" s="52"/>
      <c r="M161" s="53"/>
      <c r="N161" s="54" t="str">
        <f>IF(Tabla1[[#This Row],[ESTADO]]="ENTREGADO",IF(Tabla1[[#This Row],[OBSERVACIÓN]]="OK","SI","NO"),"")</f>
        <v/>
      </c>
    </row>
    <row r="162" spans="1:14" x14ac:dyDescent="0.2">
      <c r="A162" s="48">
        <v>45162</v>
      </c>
      <c r="B162" s="49" t="s">
        <v>238</v>
      </c>
      <c r="C162" s="49">
        <v>477</v>
      </c>
      <c r="D162" s="49">
        <v>13</v>
      </c>
      <c r="E162" s="49" t="str">
        <f>VLOOKUP(Tabla1[[#This Row],[ID TIENDA]],Guias[],2,0)</f>
        <v>T994-00164970</v>
      </c>
      <c r="F162" s="51">
        <v>1766.69</v>
      </c>
      <c r="G162" s="49" t="str">
        <f>IFERROR(VLOOKUP(Tabla1[[#This Row],[RUTA]],Tabla2[#All],3,0),"")</f>
        <v>CEVA</v>
      </c>
      <c r="H162" s="49" t="str">
        <f>IFERROR(VLOOKUP(Tabla1[[#This Row],[RUTA]],Tabla2[[#All],[RUTA]:[PLACAS]],2,0),"")</f>
        <v>BBW-874</v>
      </c>
      <c r="I162" s="49" t="str">
        <f>IFERROR(VLOOKUP(Tabla1[[#This Row],[RUTA]],Tabla2[[#All],[RUTA]:[CONDUCTOR]],4,0),"")</f>
        <v>BANCAYAN</v>
      </c>
      <c r="J162" s="49" t="str">
        <f>IFERROR(VLOOKUP(Tabla1[[#This Row],[RUTA]],Tabla2[#All],5,0),"")</f>
        <v>PAINO</v>
      </c>
      <c r="K162" s="50" t="s">
        <v>16</v>
      </c>
      <c r="L162" s="52"/>
      <c r="M162" s="53"/>
      <c r="N162" s="54" t="str">
        <f>IF(Tabla1[[#This Row],[ESTADO]]="ENTREGADO",IF(Tabla1[[#This Row],[OBSERVACIÓN]]="OK","SI","NO"),"")</f>
        <v/>
      </c>
    </row>
    <row r="163" spans="1:14" x14ac:dyDescent="0.2">
      <c r="A163" s="48">
        <v>45162</v>
      </c>
      <c r="B163" s="49" t="s">
        <v>239</v>
      </c>
      <c r="C163" s="49">
        <v>247</v>
      </c>
      <c r="D163" s="49">
        <v>13</v>
      </c>
      <c r="E163" s="49" t="str">
        <f>VLOOKUP(Tabla1[[#This Row],[ID TIENDA]],Guias[],2,0)</f>
        <v>T994-00165079</v>
      </c>
      <c r="F163" s="51">
        <v>758.05</v>
      </c>
      <c r="G163" s="49" t="str">
        <f>IFERROR(VLOOKUP(Tabla1[[#This Row],[RUTA]],Tabla2[#All],3,0),"")</f>
        <v>CEVA</v>
      </c>
      <c r="H163" s="49" t="str">
        <f>IFERROR(VLOOKUP(Tabla1[[#This Row],[RUTA]],Tabla2[[#All],[RUTA]:[PLACAS]],2,0),"")</f>
        <v>BBW-874</v>
      </c>
      <c r="I163" s="49" t="str">
        <f>IFERROR(VLOOKUP(Tabla1[[#This Row],[RUTA]],Tabla2[[#All],[RUTA]:[CONDUCTOR]],4,0),"")</f>
        <v>BANCAYAN</v>
      </c>
      <c r="J163" s="49" t="str">
        <f>IFERROR(VLOOKUP(Tabla1[[#This Row],[RUTA]],Tabla2[#All],5,0),"")</f>
        <v>PAINO</v>
      </c>
      <c r="K163" s="50" t="s">
        <v>16</v>
      </c>
      <c r="L163" s="52"/>
      <c r="M163" s="53"/>
      <c r="N163" s="54" t="str">
        <f>IF(Tabla1[[#This Row],[ESTADO]]="ENTREGADO",IF(Tabla1[[#This Row],[OBSERVACIÓN]]="OK","SI","NO"),"")</f>
        <v/>
      </c>
    </row>
    <row r="164" spans="1:14" x14ac:dyDescent="0.2">
      <c r="A164" s="48">
        <v>45162</v>
      </c>
      <c r="B164" s="49" t="s">
        <v>240</v>
      </c>
      <c r="C164" s="49">
        <v>468</v>
      </c>
      <c r="D164" s="49">
        <v>13</v>
      </c>
      <c r="E164" s="49" t="str">
        <f>VLOOKUP(Tabla1[[#This Row],[ID TIENDA]],Guias[],2,0)</f>
        <v>T994-00165135</v>
      </c>
      <c r="F164" s="51">
        <v>1444.83</v>
      </c>
      <c r="G164" s="49" t="str">
        <f>IFERROR(VLOOKUP(Tabla1[[#This Row],[RUTA]],Tabla2[#All],3,0),"")</f>
        <v>CEVA</v>
      </c>
      <c r="H164" s="49" t="str">
        <f>IFERROR(VLOOKUP(Tabla1[[#This Row],[RUTA]],Tabla2[[#All],[RUTA]:[PLACAS]],2,0),"")</f>
        <v>BBW-874</v>
      </c>
      <c r="I164" s="49" t="str">
        <f>IFERROR(VLOOKUP(Tabla1[[#This Row],[RUTA]],Tabla2[[#All],[RUTA]:[CONDUCTOR]],4,0),"")</f>
        <v>BANCAYAN</v>
      </c>
      <c r="J164" s="49" t="str">
        <f>IFERROR(VLOOKUP(Tabla1[[#This Row],[RUTA]],Tabla2[#All],5,0),"")</f>
        <v>PAINO</v>
      </c>
      <c r="K164" s="50" t="s">
        <v>16</v>
      </c>
      <c r="L164" s="52"/>
      <c r="M164" s="53"/>
      <c r="N164" s="54" t="str">
        <f>IF(Tabla1[[#This Row],[ESTADO]]="ENTREGADO",IF(Tabla1[[#This Row],[OBSERVACIÓN]]="OK","SI","NO"),"")</f>
        <v/>
      </c>
    </row>
    <row r="165" spans="1:14" x14ac:dyDescent="0.2">
      <c r="A165" s="48">
        <v>45162</v>
      </c>
      <c r="B165" s="49" t="s">
        <v>241</v>
      </c>
      <c r="C165" s="49">
        <v>44</v>
      </c>
      <c r="D165" s="49">
        <v>13</v>
      </c>
      <c r="E165" s="49" t="str">
        <f>VLOOKUP(Tabla1[[#This Row],[ID TIENDA]],Guias[],2,0)</f>
        <v>T994-00165016</v>
      </c>
      <c r="F165" s="51">
        <v>1219.83</v>
      </c>
      <c r="G165" s="49" t="str">
        <f>IFERROR(VLOOKUP(Tabla1[[#This Row],[RUTA]],Tabla2[#All],3,0),"")</f>
        <v>CEVA</v>
      </c>
      <c r="H165" s="49" t="str">
        <f>IFERROR(VLOOKUP(Tabla1[[#This Row],[RUTA]],Tabla2[[#All],[RUTA]:[PLACAS]],2,0),"")</f>
        <v>BBW-874</v>
      </c>
      <c r="I165" s="49" t="str">
        <f>IFERROR(VLOOKUP(Tabla1[[#This Row],[RUTA]],Tabla2[[#All],[RUTA]:[CONDUCTOR]],4,0),"")</f>
        <v>BANCAYAN</v>
      </c>
      <c r="J165" s="49" t="str">
        <f>IFERROR(VLOOKUP(Tabla1[[#This Row],[RUTA]],Tabla2[#All],5,0),"")</f>
        <v>PAINO</v>
      </c>
      <c r="K165" s="50" t="s">
        <v>16</v>
      </c>
      <c r="L165" s="52"/>
      <c r="M165" s="53"/>
      <c r="N165" s="54" t="str">
        <f>IF(Tabla1[[#This Row],[ESTADO]]="ENTREGADO",IF(Tabla1[[#This Row],[OBSERVACIÓN]]="OK","SI","NO"),"")</f>
        <v/>
      </c>
    </row>
    <row r="166" spans="1:14" x14ac:dyDescent="0.2">
      <c r="A166" s="48">
        <v>45162</v>
      </c>
      <c r="B166" s="49" t="s">
        <v>242</v>
      </c>
      <c r="C166" s="49">
        <v>22</v>
      </c>
      <c r="D166" s="49">
        <v>13</v>
      </c>
      <c r="E166" s="49" t="str">
        <f>VLOOKUP(Tabla1[[#This Row],[ID TIENDA]],Guias[],2,0)</f>
        <v>T994-00165060</v>
      </c>
      <c r="F166" s="51">
        <v>1345.59</v>
      </c>
      <c r="G166" s="49" t="str">
        <f>IFERROR(VLOOKUP(Tabla1[[#This Row],[RUTA]],Tabla2[#All],3,0),"")</f>
        <v>CEVA</v>
      </c>
      <c r="H166" s="49" t="str">
        <f>IFERROR(VLOOKUP(Tabla1[[#This Row],[RUTA]],Tabla2[[#All],[RUTA]:[PLACAS]],2,0),"")</f>
        <v>BBW-874</v>
      </c>
      <c r="I166" s="49" t="str">
        <f>IFERROR(VLOOKUP(Tabla1[[#This Row],[RUTA]],Tabla2[[#All],[RUTA]:[CONDUCTOR]],4,0),"")</f>
        <v>BANCAYAN</v>
      </c>
      <c r="J166" s="49" t="str">
        <f>IFERROR(VLOOKUP(Tabla1[[#This Row],[RUTA]],Tabla2[#All],5,0),"")</f>
        <v>PAINO</v>
      </c>
      <c r="K166" s="50" t="s">
        <v>16</v>
      </c>
      <c r="L166" s="52"/>
      <c r="M166" s="53"/>
      <c r="N166" s="54" t="str">
        <f>IF(Tabla1[[#This Row],[ESTADO]]="ENTREGADO",IF(Tabla1[[#This Row],[OBSERVACIÓN]]="OK","SI","NO"),"")</f>
        <v/>
      </c>
    </row>
    <row r="167" spans="1:14" x14ac:dyDescent="0.2">
      <c r="A167" s="48">
        <v>45162</v>
      </c>
      <c r="B167" s="49" t="s">
        <v>243</v>
      </c>
      <c r="C167" s="49">
        <v>27</v>
      </c>
      <c r="D167" s="49">
        <v>13</v>
      </c>
      <c r="E167" s="49" t="str">
        <f>VLOOKUP(Tabla1[[#This Row],[ID TIENDA]],Guias[],2,0)</f>
        <v>T994-00165111</v>
      </c>
      <c r="F167" s="51">
        <v>3422.12</v>
      </c>
      <c r="G167" s="49" t="str">
        <f>IFERROR(VLOOKUP(Tabla1[[#This Row],[RUTA]],Tabla2[#All],3,0),"")</f>
        <v>CEVA</v>
      </c>
      <c r="H167" s="49" t="str">
        <f>IFERROR(VLOOKUP(Tabla1[[#This Row],[RUTA]],Tabla2[[#All],[RUTA]:[PLACAS]],2,0),"")</f>
        <v>BBW-874</v>
      </c>
      <c r="I167" s="49" t="str">
        <f>IFERROR(VLOOKUP(Tabla1[[#This Row],[RUTA]],Tabla2[[#All],[RUTA]:[CONDUCTOR]],4,0),"")</f>
        <v>BANCAYAN</v>
      </c>
      <c r="J167" s="49" t="str">
        <f>IFERROR(VLOOKUP(Tabla1[[#This Row],[RUTA]],Tabla2[#All],5,0),"")</f>
        <v>PAINO</v>
      </c>
      <c r="K167" s="50" t="s">
        <v>16</v>
      </c>
      <c r="L167" s="52"/>
      <c r="M167" s="53"/>
      <c r="N167" s="54" t="str">
        <f>IF(Tabla1[[#This Row],[ESTADO]]="ENTREGADO",IF(Tabla1[[#This Row],[OBSERVACIÓN]]="OK","SI","NO"),"")</f>
        <v/>
      </c>
    </row>
    <row r="168" spans="1:14" x14ac:dyDescent="0.2">
      <c r="A168" s="48">
        <v>45162</v>
      </c>
      <c r="B168" s="49" t="s">
        <v>244</v>
      </c>
      <c r="C168" s="49">
        <v>51</v>
      </c>
      <c r="D168" s="49">
        <v>13</v>
      </c>
      <c r="E168" s="49" t="str">
        <f>VLOOKUP(Tabla1[[#This Row],[ID TIENDA]],Guias[],2,0)</f>
        <v>T994-00165084</v>
      </c>
      <c r="F168" s="51">
        <v>3701.7</v>
      </c>
      <c r="G168" s="49" t="str">
        <f>IFERROR(VLOOKUP(Tabla1[[#This Row],[RUTA]],Tabla2[#All],3,0),"")</f>
        <v>CEVA</v>
      </c>
      <c r="H168" s="49" t="str">
        <f>IFERROR(VLOOKUP(Tabla1[[#This Row],[RUTA]],Tabla2[[#All],[RUTA]:[PLACAS]],2,0),"")</f>
        <v>BBW-874</v>
      </c>
      <c r="I168" s="49" t="str">
        <f>IFERROR(VLOOKUP(Tabla1[[#This Row],[RUTA]],Tabla2[[#All],[RUTA]:[CONDUCTOR]],4,0),"")</f>
        <v>BANCAYAN</v>
      </c>
      <c r="J168" s="49" t="str">
        <f>IFERROR(VLOOKUP(Tabla1[[#This Row],[RUTA]],Tabla2[#All],5,0),"")</f>
        <v>PAINO</v>
      </c>
      <c r="K168" s="50" t="s">
        <v>16</v>
      </c>
      <c r="L168" s="52"/>
      <c r="M168" s="53"/>
      <c r="N168" s="54" t="str">
        <f>IF(Tabla1[[#This Row],[ESTADO]]="ENTREGADO",IF(Tabla1[[#This Row],[OBSERVACIÓN]]="OK","SI","NO"),"")</f>
        <v/>
      </c>
    </row>
    <row r="169" spans="1:14" x14ac:dyDescent="0.2">
      <c r="A169" s="48">
        <v>45162</v>
      </c>
      <c r="B169" s="49" t="s">
        <v>245</v>
      </c>
      <c r="C169" s="49">
        <v>292</v>
      </c>
      <c r="D169" s="49">
        <v>13</v>
      </c>
      <c r="E169" s="49" t="str">
        <f>VLOOKUP(Tabla1[[#This Row],[ID TIENDA]],Guias[],2,0)</f>
        <v>T994-00165005</v>
      </c>
      <c r="F169" s="51">
        <v>1578.98</v>
      </c>
      <c r="G169" s="49" t="str">
        <f>IFERROR(VLOOKUP(Tabla1[[#This Row],[RUTA]],Tabla2[#All],3,0),"")</f>
        <v>CEVA</v>
      </c>
      <c r="H169" s="49" t="str">
        <f>IFERROR(VLOOKUP(Tabla1[[#This Row],[RUTA]],Tabla2[[#All],[RUTA]:[PLACAS]],2,0),"")</f>
        <v>BBW-874</v>
      </c>
      <c r="I169" s="49" t="str">
        <f>IFERROR(VLOOKUP(Tabla1[[#This Row],[RUTA]],Tabla2[[#All],[RUTA]:[CONDUCTOR]],4,0),"")</f>
        <v>BANCAYAN</v>
      </c>
      <c r="J169" s="49" t="str">
        <f>IFERROR(VLOOKUP(Tabla1[[#This Row],[RUTA]],Tabla2[#All],5,0),"")</f>
        <v>PAINO</v>
      </c>
      <c r="K169" s="50" t="s">
        <v>16</v>
      </c>
      <c r="L169" s="52"/>
      <c r="M169" s="53"/>
      <c r="N169" s="54" t="str">
        <f>IF(Tabla1[[#This Row],[ESTADO]]="ENTREGADO",IF(Tabla1[[#This Row],[OBSERVACIÓN]]="OK","SI","NO"),"")</f>
        <v/>
      </c>
    </row>
    <row r="170" spans="1:14" x14ac:dyDescent="0.2">
      <c r="A170" s="48">
        <v>45162</v>
      </c>
      <c r="B170" s="49" t="s">
        <v>246</v>
      </c>
      <c r="C170" s="49">
        <v>411</v>
      </c>
      <c r="D170" s="49">
        <v>14</v>
      </c>
      <c r="E170" s="49" t="str">
        <f>VLOOKUP(Tabla1[[#This Row],[ID TIENDA]],Guias[],2,0)</f>
        <v>T994-00165042</v>
      </c>
      <c r="F170" s="51">
        <v>1916.61</v>
      </c>
      <c r="G170" s="49" t="str">
        <f>IFERROR(VLOOKUP(Tabla1[[#This Row],[RUTA]],Tabla2[#All],3,0),"")</f>
        <v>DINET</v>
      </c>
      <c r="H170" s="49" t="str">
        <f>IFERROR(VLOOKUP(Tabla1[[#This Row],[RUTA]],Tabla2[[#All],[RUTA]:[PLACAS]],2,0),"")</f>
        <v>BAN-774</v>
      </c>
      <c r="I170" s="49" t="str">
        <f>IFERROR(VLOOKUP(Tabla1[[#This Row],[RUTA]],Tabla2[[#All],[RUTA]:[CONDUCTOR]],4,0),"")</f>
        <v>ALEX GUILLERMO</v>
      </c>
      <c r="J170" s="49" t="str">
        <f>IFERROR(VLOOKUP(Tabla1[[#This Row],[RUTA]],Tabla2[#All],5,0),"")</f>
        <v>SEBASTIAN GUILLERMO</v>
      </c>
      <c r="K170" s="50" t="s">
        <v>16</v>
      </c>
      <c r="L170" s="52"/>
      <c r="M170" s="53"/>
      <c r="N170" s="54" t="str">
        <f>IF(Tabla1[[#This Row],[ESTADO]]="ENTREGADO",IF(Tabla1[[#This Row],[OBSERVACIÓN]]="OK","SI","NO"),"")</f>
        <v/>
      </c>
    </row>
    <row r="171" spans="1:14" x14ac:dyDescent="0.2">
      <c r="A171" s="48">
        <v>45162</v>
      </c>
      <c r="B171" s="49" t="s">
        <v>247</v>
      </c>
      <c r="C171" s="49">
        <v>333</v>
      </c>
      <c r="D171" s="49">
        <v>14</v>
      </c>
      <c r="E171" s="49" t="str">
        <f>VLOOKUP(Tabla1[[#This Row],[ID TIENDA]],Guias[],2,0)</f>
        <v>T994-00164984</v>
      </c>
      <c r="F171" s="51">
        <v>2901.61</v>
      </c>
      <c r="G171" s="49" t="str">
        <f>IFERROR(VLOOKUP(Tabla1[[#This Row],[RUTA]],Tabla2[#All],3,0),"")</f>
        <v>DINET</v>
      </c>
      <c r="H171" s="49" t="str">
        <f>IFERROR(VLOOKUP(Tabla1[[#This Row],[RUTA]],Tabla2[[#All],[RUTA]:[PLACAS]],2,0),"")</f>
        <v>BAN-774</v>
      </c>
      <c r="I171" s="49" t="str">
        <f>IFERROR(VLOOKUP(Tabla1[[#This Row],[RUTA]],Tabla2[[#All],[RUTA]:[CONDUCTOR]],4,0),"")</f>
        <v>ALEX GUILLERMO</v>
      </c>
      <c r="J171" s="49" t="str">
        <f>IFERROR(VLOOKUP(Tabla1[[#This Row],[RUTA]],Tabla2[#All],5,0),"")</f>
        <v>SEBASTIAN GUILLERMO</v>
      </c>
      <c r="K171" s="50" t="s">
        <v>16</v>
      </c>
      <c r="L171" s="52"/>
      <c r="M171" s="53"/>
      <c r="N171" s="54" t="str">
        <f>IF(Tabla1[[#This Row],[ESTADO]]="ENTREGADO",IF(Tabla1[[#This Row],[OBSERVACIÓN]]="OK","SI","NO"),"")</f>
        <v/>
      </c>
    </row>
    <row r="172" spans="1:14" x14ac:dyDescent="0.2">
      <c r="A172" s="48">
        <v>45162</v>
      </c>
      <c r="B172" s="49" t="s">
        <v>248</v>
      </c>
      <c r="C172" s="49">
        <v>455</v>
      </c>
      <c r="D172" s="49">
        <v>14</v>
      </c>
      <c r="E172" s="49" t="str">
        <f>VLOOKUP(Tabla1[[#This Row],[ID TIENDA]],Guias[],2,0)</f>
        <v>T994-00164968</v>
      </c>
      <c r="F172" s="51">
        <v>2113.73</v>
      </c>
      <c r="G172" s="49" t="str">
        <f>IFERROR(VLOOKUP(Tabla1[[#This Row],[RUTA]],Tabla2[#All],3,0),"")</f>
        <v>DINET</v>
      </c>
      <c r="H172" s="49" t="str">
        <f>IFERROR(VLOOKUP(Tabla1[[#This Row],[RUTA]],Tabla2[[#All],[RUTA]:[PLACAS]],2,0),"")</f>
        <v>BAN-774</v>
      </c>
      <c r="I172" s="49" t="str">
        <f>IFERROR(VLOOKUP(Tabla1[[#This Row],[RUTA]],Tabla2[[#All],[RUTA]:[CONDUCTOR]],4,0),"")</f>
        <v>ALEX GUILLERMO</v>
      </c>
      <c r="J172" s="49" t="str">
        <f>IFERROR(VLOOKUP(Tabla1[[#This Row],[RUTA]],Tabla2[#All],5,0),"")</f>
        <v>SEBASTIAN GUILLERMO</v>
      </c>
      <c r="K172" s="50" t="s">
        <v>16</v>
      </c>
      <c r="L172" s="52"/>
      <c r="M172" s="53"/>
      <c r="N172" s="54" t="str">
        <f>IF(Tabla1[[#This Row],[ESTADO]]="ENTREGADO",IF(Tabla1[[#This Row],[OBSERVACIÓN]]="OK","SI","NO"),"")</f>
        <v/>
      </c>
    </row>
    <row r="173" spans="1:14" x14ac:dyDescent="0.2">
      <c r="A173" s="48">
        <v>45162</v>
      </c>
      <c r="B173" s="49" t="s">
        <v>249</v>
      </c>
      <c r="C173" s="49">
        <v>137</v>
      </c>
      <c r="D173" s="49">
        <v>14</v>
      </c>
      <c r="E173" s="49" t="str">
        <f>VLOOKUP(Tabla1[[#This Row],[ID TIENDA]],Guias[],2,0)</f>
        <v>T994-00165129</v>
      </c>
      <c r="F173" s="51">
        <v>2546.27</v>
      </c>
      <c r="G173" s="49" t="str">
        <f>IFERROR(VLOOKUP(Tabla1[[#This Row],[RUTA]],Tabla2[#All],3,0),"")</f>
        <v>DINET</v>
      </c>
      <c r="H173" s="49" t="str">
        <f>IFERROR(VLOOKUP(Tabla1[[#This Row],[RUTA]],Tabla2[[#All],[RUTA]:[PLACAS]],2,0),"")</f>
        <v>BAN-774</v>
      </c>
      <c r="I173" s="49" t="str">
        <f>IFERROR(VLOOKUP(Tabla1[[#This Row],[RUTA]],Tabla2[[#All],[RUTA]:[CONDUCTOR]],4,0),"")</f>
        <v>ALEX GUILLERMO</v>
      </c>
      <c r="J173" s="49" t="str">
        <f>IFERROR(VLOOKUP(Tabla1[[#This Row],[RUTA]],Tabla2[#All],5,0),"")</f>
        <v>SEBASTIAN GUILLERMO</v>
      </c>
      <c r="K173" s="50" t="s">
        <v>16</v>
      </c>
      <c r="L173" s="52"/>
      <c r="M173" s="53"/>
      <c r="N173" s="54" t="str">
        <f>IF(Tabla1[[#This Row],[ESTADO]]="ENTREGADO",IF(Tabla1[[#This Row],[OBSERVACIÓN]]="OK","SI","NO"),"")</f>
        <v/>
      </c>
    </row>
    <row r="174" spans="1:14" x14ac:dyDescent="0.2">
      <c r="A174" s="48">
        <v>45162</v>
      </c>
      <c r="B174" s="49" t="s">
        <v>250</v>
      </c>
      <c r="C174" s="49">
        <v>62</v>
      </c>
      <c r="D174" s="49">
        <v>14</v>
      </c>
      <c r="E174" s="49" t="str">
        <f>VLOOKUP(Tabla1[[#This Row],[ID TIENDA]],Guias[],2,0)</f>
        <v>T994-00165122</v>
      </c>
      <c r="F174" s="51">
        <v>1438.22</v>
      </c>
      <c r="G174" s="49" t="str">
        <f>IFERROR(VLOOKUP(Tabla1[[#This Row],[RUTA]],Tabla2[#All],3,0),"")</f>
        <v>DINET</v>
      </c>
      <c r="H174" s="49" t="str">
        <f>IFERROR(VLOOKUP(Tabla1[[#This Row],[RUTA]],Tabla2[[#All],[RUTA]:[PLACAS]],2,0),"")</f>
        <v>BAN-774</v>
      </c>
      <c r="I174" s="49" t="str">
        <f>IFERROR(VLOOKUP(Tabla1[[#This Row],[RUTA]],Tabla2[[#All],[RUTA]:[CONDUCTOR]],4,0),"")</f>
        <v>ALEX GUILLERMO</v>
      </c>
      <c r="J174" s="49" t="str">
        <f>IFERROR(VLOOKUP(Tabla1[[#This Row],[RUTA]],Tabla2[#All],5,0),"")</f>
        <v>SEBASTIAN GUILLERMO</v>
      </c>
      <c r="K174" s="50" t="s">
        <v>16</v>
      </c>
      <c r="L174" s="52"/>
      <c r="M174" s="53"/>
      <c r="N174" s="54" t="str">
        <f>IF(Tabla1[[#This Row],[ESTADO]]="ENTREGADO",IF(Tabla1[[#This Row],[OBSERVACIÓN]]="OK","SI","NO"),"")</f>
        <v/>
      </c>
    </row>
    <row r="175" spans="1:14" x14ac:dyDescent="0.2">
      <c r="A175" s="48">
        <v>45162</v>
      </c>
      <c r="B175" s="49" t="s">
        <v>251</v>
      </c>
      <c r="C175" s="49">
        <v>190</v>
      </c>
      <c r="D175" s="49">
        <v>14</v>
      </c>
      <c r="E175" s="49" t="str">
        <f>VLOOKUP(Tabla1[[#This Row],[ID TIENDA]],Guias[],2,0)</f>
        <v>T994-00165020</v>
      </c>
      <c r="F175" s="51">
        <v>2351.61</v>
      </c>
      <c r="G175" s="49" t="str">
        <f>IFERROR(VLOOKUP(Tabla1[[#This Row],[RUTA]],Tabla2[#All],3,0),"")</f>
        <v>DINET</v>
      </c>
      <c r="H175" s="49" t="str">
        <f>IFERROR(VLOOKUP(Tabla1[[#This Row],[RUTA]],Tabla2[[#All],[RUTA]:[PLACAS]],2,0),"")</f>
        <v>BAN-774</v>
      </c>
      <c r="I175" s="49" t="str">
        <f>IFERROR(VLOOKUP(Tabla1[[#This Row],[RUTA]],Tabla2[[#All],[RUTA]:[CONDUCTOR]],4,0),"")</f>
        <v>ALEX GUILLERMO</v>
      </c>
      <c r="J175" s="49" t="str">
        <f>IFERROR(VLOOKUP(Tabla1[[#This Row],[RUTA]],Tabla2[#All],5,0),"")</f>
        <v>SEBASTIAN GUILLERMO</v>
      </c>
      <c r="K175" s="50" t="s">
        <v>16</v>
      </c>
      <c r="L175" s="52"/>
      <c r="M175" s="53"/>
      <c r="N175" s="54" t="str">
        <f>IF(Tabla1[[#This Row],[ESTADO]]="ENTREGADO",IF(Tabla1[[#This Row],[OBSERVACIÓN]]="OK","SI","NO"),"")</f>
        <v/>
      </c>
    </row>
    <row r="176" spans="1:14" x14ac:dyDescent="0.2">
      <c r="A176" s="48">
        <v>45162</v>
      </c>
      <c r="B176" s="49" t="s">
        <v>252</v>
      </c>
      <c r="C176" s="49">
        <v>85</v>
      </c>
      <c r="D176" s="49">
        <v>14</v>
      </c>
      <c r="E176" s="49" t="str">
        <f>VLOOKUP(Tabla1[[#This Row],[ID TIENDA]],Guias[],2,0)</f>
        <v>T994-00164985</v>
      </c>
      <c r="F176" s="51">
        <v>2145.17</v>
      </c>
      <c r="G176" s="49" t="str">
        <f>IFERROR(VLOOKUP(Tabla1[[#This Row],[RUTA]],Tabla2[#All],3,0),"")</f>
        <v>DINET</v>
      </c>
      <c r="H176" s="49" t="str">
        <f>IFERROR(VLOOKUP(Tabla1[[#This Row],[RUTA]],Tabla2[[#All],[RUTA]:[PLACAS]],2,0),"")</f>
        <v>BAN-774</v>
      </c>
      <c r="I176" s="49" t="str">
        <f>IFERROR(VLOOKUP(Tabla1[[#This Row],[RUTA]],Tabla2[[#All],[RUTA]:[CONDUCTOR]],4,0),"")</f>
        <v>ALEX GUILLERMO</v>
      </c>
      <c r="J176" s="49" t="str">
        <f>IFERROR(VLOOKUP(Tabla1[[#This Row],[RUTA]],Tabla2[#All],5,0),"")</f>
        <v>SEBASTIAN GUILLERMO</v>
      </c>
      <c r="K176" s="50" t="s">
        <v>16</v>
      </c>
      <c r="L176" s="52"/>
      <c r="M176" s="53"/>
      <c r="N176" s="54" t="str">
        <f>IF(Tabla1[[#This Row],[ESTADO]]="ENTREGADO",IF(Tabla1[[#This Row],[OBSERVACIÓN]]="OK","SI","NO"),"")</f>
        <v/>
      </c>
    </row>
    <row r="177" spans="1:14" x14ac:dyDescent="0.2">
      <c r="A177" s="48">
        <v>45162</v>
      </c>
      <c r="B177" s="49" t="s">
        <v>253</v>
      </c>
      <c r="C177" s="49">
        <v>195</v>
      </c>
      <c r="D177" s="49">
        <v>14</v>
      </c>
      <c r="E177" s="49" t="str">
        <f>VLOOKUP(Tabla1[[#This Row],[ID TIENDA]],Guias[],2,0)</f>
        <v>T994-00165170</v>
      </c>
      <c r="F177" s="51">
        <v>1364.58</v>
      </c>
      <c r="G177" s="49" t="str">
        <f>IFERROR(VLOOKUP(Tabla1[[#This Row],[RUTA]],Tabla2[#All],3,0),"")</f>
        <v>DINET</v>
      </c>
      <c r="H177" s="49" t="str">
        <f>IFERROR(VLOOKUP(Tabla1[[#This Row],[RUTA]],Tabla2[[#All],[RUTA]:[PLACAS]],2,0),"")</f>
        <v>BAN-774</v>
      </c>
      <c r="I177" s="49" t="str">
        <f>IFERROR(VLOOKUP(Tabla1[[#This Row],[RUTA]],Tabla2[[#All],[RUTA]:[CONDUCTOR]],4,0),"")</f>
        <v>ALEX GUILLERMO</v>
      </c>
      <c r="J177" s="49" t="str">
        <f>IFERROR(VLOOKUP(Tabla1[[#This Row],[RUTA]],Tabla2[#All],5,0),"")</f>
        <v>SEBASTIAN GUILLERMO</v>
      </c>
      <c r="K177" s="50" t="s">
        <v>16</v>
      </c>
      <c r="L177" s="52"/>
      <c r="M177" s="53"/>
      <c r="N177" s="54" t="str">
        <f>IF(Tabla1[[#This Row],[ESTADO]]="ENTREGADO",IF(Tabla1[[#This Row],[OBSERVACIÓN]]="OK","SI","NO"),"")</f>
        <v/>
      </c>
    </row>
    <row r="178" spans="1:14" x14ac:dyDescent="0.2">
      <c r="A178" s="48">
        <v>45162</v>
      </c>
      <c r="B178" s="49" t="s">
        <v>254</v>
      </c>
      <c r="C178" s="49">
        <v>236</v>
      </c>
      <c r="D178" s="49">
        <v>14</v>
      </c>
      <c r="E178" s="49" t="str">
        <f>VLOOKUP(Tabla1[[#This Row],[ID TIENDA]],Guias[],2,0)</f>
        <v>T994-00165172</v>
      </c>
      <c r="F178" s="51">
        <v>1858.05</v>
      </c>
      <c r="G178" s="49" t="str">
        <f>IFERROR(VLOOKUP(Tabla1[[#This Row],[RUTA]],Tabla2[#All],3,0),"")</f>
        <v>DINET</v>
      </c>
      <c r="H178" s="49" t="str">
        <f>IFERROR(VLOOKUP(Tabla1[[#This Row],[RUTA]],Tabla2[[#All],[RUTA]:[PLACAS]],2,0),"")</f>
        <v>BAN-774</v>
      </c>
      <c r="I178" s="49" t="str">
        <f>IFERROR(VLOOKUP(Tabla1[[#This Row],[RUTA]],Tabla2[[#All],[RUTA]:[CONDUCTOR]],4,0),"")</f>
        <v>ALEX GUILLERMO</v>
      </c>
      <c r="J178" s="49" t="str">
        <f>IFERROR(VLOOKUP(Tabla1[[#This Row],[RUTA]],Tabla2[#All],5,0),"")</f>
        <v>SEBASTIAN GUILLERMO</v>
      </c>
      <c r="K178" s="50" t="s">
        <v>16</v>
      </c>
      <c r="L178" s="52"/>
      <c r="M178" s="53"/>
      <c r="N178" s="54" t="str">
        <f>IF(Tabla1[[#This Row],[ESTADO]]="ENTREGADO",IF(Tabla1[[#This Row],[OBSERVACIÓN]]="OK","SI","NO"),"")</f>
        <v/>
      </c>
    </row>
    <row r="179" spans="1:14" x14ac:dyDescent="0.2">
      <c r="A179" s="48">
        <v>45162</v>
      </c>
      <c r="B179" s="49" t="s">
        <v>255</v>
      </c>
      <c r="C179" s="49">
        <v>49</v>
      </c>
      <c r="D179" s="49">
        <v>14</v>
      </c>
      <c r="E179" s="49" t="str">
        <f>VLOOKUP(Tabla1[[#This Row],[ID TIENDA]],Guias[],2,0)</f>
        <v>T994-00165144</v>
      </c>
      <c r="F179" s="51">
        <v>2744.32</v>
      </c>
      <c r="G179" s="49" t="str">
        <f>IFERROR(VLOOKUP(Tabla1[[#This Row],[RUTA]],Tabla2[#All],3,0),"")</f>
        <v>DINET</v>
      </c>
      <c r="H179" s="49" t="str">
        <f>IFERROR(VLOOKUP(Tabla1[[#This Row],[RUTA]],Tabla2[[#All],[RUTA]:[PLACAS]],2,0),"")</f>
        <v>BAN-774</v>
      </c>
      <c r="I179" s="49" t="str">
        <f>IFERROR(VLOOKUP(Tabla1[[#This Row],[RUTA]],Tabla2[[#All],[RUTA]:[CONDUCTOR]],4,0),"")</f>
        <v>ALEX GUILLERMO</v>
      </c>
      <c r="J179" s="49" t="str">
        <f>IFERROR(VLOOKUP(Tabla1[[#This Row],[RUTA]],Tabla2[#All],5,0),"")</f>
        <v>SEBASTIAN GUILLERMO</v>
      </c>
      <c r="K179" s="50" t="s">
        <v>16</v>
      </c>
      <c r="L179" s="52"/>
      <c r="M179" s="53"/>
      <c r="N179" s="54" t="str">
        <f>IF(Tabla1[[#This Row],[ESTADO]]="ENTREGADO",IF(Tabla1[[#This Row],[OBSERVACIÓN]]="OK","SI","NO"),"")</f>
        <v/>
      </c>
    </row>
    <row r="180" spans="1:14" x14ac:dyDescent="0.2">
      <c r="A180" s="48">
        <v>45162</v>
      </c>
      <c r="B180" s="49" t="s">
        <v>256</v>
      </c>
      <c r="C180" s="49">
        <v>12</v>
      </c>
      <c r="D180" s="49">
        <v>14</v>
      </c>
      <c r="E180" s="49" t="str">
        <f>VLOOKUP(Tabla1[[#This Row],[ID TIENDA]],Guias[],2,0)</f>
        <v>T994-00165019</v>
      </c>
      <c r="F180" s="51">
        <v>2350.08</v>
      </c>
      <c r="G180" s="49" t="str">
        <f>IFERROR(VLOOKUP(Tabla1[[#This Row],[RUTA]],Tabla2[#All],3,0),"")</f>
        <v>DINET</v>
      </c>
      <c r="H180" s="49" t="str">
        <f>IFERROR(VLOOKUP(Tabla1[[#This Row],[RUTA]],Tabla2[[#All],[RUTA]:[PLACAS]],2,0),"")</f>
        <v>BAN-774</v>
      </c>
      <c r="I180" s="49" t="str">
        <f>IFERROR(VLOOKUP(Tabla1[[#This Row],[RUTA]],Tabla2[[#All],[RUTA]:[CONDUCTOR]],4,0),"")</f>
        <v>ALEX GUILLERMO</v>
      </c>
      <c r="J180" s="49" t="str">
        <f>IFERROR(VLOOKUP(Tabla1[[#This Row],[RUTA]],Tabla2[#All],5,0),"")</f>
        <v>SEBASTIAN GUILLERMO</v>
      </c>
      <c r="K180" s="50" t="s">
        <v>16</v>
      </c>
      <c r="L180" s="52"/>
      <c r="M180" s="53"/>
      <c r="N180" s="54" t="str">
        <f>IF(Tabla1[[#This Row],[ESTADO]]="ENTREGADO",IF(Tabla1[[#This Row],[OBSERVACIÓN]]="OK","SI","NO"),"")</f>
        <v/>
      </c>
    </row>
    <row r="181" spans="1:14" x14ac:dyDescent="0.2">
      <c r="A181" s="48">
        <v>45162</v>
      </c>
      <c r="B181" s="49" t="s">
        <v>257</v>
      </c>
      <c r="C181" s="49">
        <v>3</v>
      </c>
      <c r="D181" s="49">
        <v>14</v>
      </c>
      <c r="E181" s="49" t="str">
        <f>VLOOKUP(Tabla1[[#This Row],[ID TIENDA]],Guias[],2,0)</f>
        <v>T994-00165047</v>
      </c>
      <c r="F181" s="51">
        <v>1594.15</v>
      </c>
      <c r="G181" s="49" t="str">
        <f>IFERROR(VLOOKUP(Tabla1[[#This Row],[RUTA]],Tabla2[#All],3,0),"")</f>
        <v>DINET</v>
      </c>
      <c r="H181" s="49" t="str">
        <f>IFERROR(VLOOKUP(Tabla1[[#This Row],[RUTA]],Tabla2[[#All],[RUTA]:[PLACAS]],2,0),"")</f>
        <v>BAN-774</v>
      </c>
      <c r="I181" s="49" t="str">
        <f>IFERROR(VLOOKUP(Tabla1[[#This Row],[RUTA]],Tabla2[[#All],[RUTA]:[CONDUCTOR]],4,0),"")</f>
        <v>ALEX GUILLERMO</v>
      </c>
      <c r="J181" s="49" t="str">
        <f>IFERROR(VLOOKUP(Tabla1[[#This Row],[RUTA]],Tabla2[#All],5,0),"")</f>
        <v>SEBASTIAN GUILLERMO</v>
      </c>
      <c r="K181" s="50" t="s">
        <v>16</v>
      </c>
      <c r="L181" s="52"/>
      <c r="M181" s="53"/>
      <c r="N181" s="54" t="str">
        <f>IF(Tabla1[[#This Row],[ESTADO]]="ENTREGADO",IF(Tabla1[[#This Row],[OBSERVACIÓN]]="OK","SI","NO"),"")</f>
        <v/>
      </c>
    </row>
    <row r="182" spans="1:14" x14ac:dyDescent="0.2">
      <c r="A182" s="48">
        <v>45162</v>
      </c>
      <c r="B182" s="49" t="s">
        <v>258</v>
      </c>
      <c r="C182" s="49">
        <v>80</v>
      </c>
      <c r="D182" s="49">
        <v>14</v>
      </c>
      <c r="E182" s="49" t="str">
        <f>VLOOKUP(Tabla1[[#This Row],[ID TIENDA]],Guias[],2,0)</f>
        <v>T994-00165155</v>
      </c>
      <c r="F182" s="51">
        <v>1154.49</v>
      </c>
      <c r="G182" s="49" t="str">
        <f>IFERROR(VLOOKUP(Tabla1[[#This Row],[RUTA]],Tabla2[#All],3,0),"")</f>
        <v>DINET</v>
      </c>
      <c r="H182" s="49" t="str">
        <f>IFERROR(VLOOKUP(Tabla1[[#This Row],[RUTA]],Tabla2[[#All],[RUTA]:[PLACAS]],2,0),"")</f>
        <v>BAN-774</v>
      </c>
      <c r="I182" s="49" t="str">
        <f>IFERROR(VLOOKUP(Tabla1[[#This Row],[RUTA]],Tabla2[[#All],[RUTA]:[CONDUCTOR]],4,0),"")</f>
        <v>ALEX GUILLERMO</v>
      </c>
      <c r="J182" s="49" t="str">
        <f>IFERROR(VLOOKUP(Tabla1[[#This Row],[RUTA]],Tabla2[#All],5,0),"")</f>
        <v>SEBASTIAN GUILLERMO</v>
      </c>
      <c r="K182" s="50" t="s">
        <v>16</v>
      </c>
      <c r="L182" s="52"/>
      <c r="M182" s="53"/>
      <c r="N182" s="54" t="str">
        <f>IF(Tabla1[[#This Row],[ESTADO]]="ENTREGADO",IF(Tabla1[[#This Row],[OBSERVACIÓN]]="OK","SI","NO"),"")</f>
        <v/>
      </c>
    </row>
    <row r="183" spans="1:14" x14ac:dyDescent="0.2">
      <c r="A183" s="48">
        <v>45162</v>
      </c>
      <c r="B183" s="49" t="s">
        <v>259</v>
      </c>
      <c r="C183" s="49">
        <v>422</v>
      </c>
      <c r="D183" s="49">
        <v>14</v>
      </c>
      <c r="E183" s="49" t="str">
        <f>VLOOKUP(Tabla1[[#This Row],[ID TIENDA]],Guias[],2,0)</f>
        <v>T994-00165000</v>
      </c>
      <c r="F183" s="51">
        <v>1534.24</v>
      </c>
      <c r="G183" s="49" t="str">
        <f>IFERROR(VLOOKUP(Tabla1[[#This Row],[RUTA]],Tabla2[#All],3,0),"")</f>
        <v>DINET</v>
      </c>
      <c r="H183" s="49" t="str">
        <f>IFERROR(VLOOKUP(Tabla1[[#This Row],[RUTA]],Tabla2[[#All],[RUTA]:[PLACAS]],2,0),"")</f>
        <v>BAN-774</v>
      </c>
      <c r="I183" s="49" t="str">
        <f>IFERROR(VLOOKUP(Tabla1[[#This Row],[RUTA]],Tabla2[[#All],[RUTA]:[CONDUCTOR]],4,0),"")</f>
        <v>ALEX GUILLERMO</v>
      </c>
      <c r="J183" s="49" t="str">
        <f>IFERROR(VLOOKUP(Tabla1[[#This Row],[RUTA]],Tabla2[#All],5,0),"")</f>
        <v>SEBASTIAN GUILLERMO</v>
      </c>
      <c r="K183" s="50" t="s">
        <v>16</v>
      </c>
      <c r="L183" s="52"/>
      <c r="M183" s="53"/>
      <c r="N183" s="54" t="str">
        <f>IF(Tabla1[[#This Row],[ESTADO]]="ENTREGADO",IF(Tabla1[[#This Row],[OBSERVACIÓN]]="OK","SI","NO"),"")</f>
        <v/>
      </c>
    </row>
    <row r="184" spans="1:14" x14ac:dyDescent="0.2">
      <c r="A184" s="48">
        <v>45162</v>
      </c>
      <c r="B184" s="49" t="s">
        <v>260</v>
      </c>
      <c r="C184" s="49">
        <v>348</v>
      </c>
      <c r="D184" s="49">
        <v>15</v>
      </c>
      <c r="E184" s="49" t="str">
        <f>VLOOKUP(Tabla1[[#This Row],[ID TIENDA]],Guias[],2,0)</f>
        <v>T994-00165045</v>
      </c>
      <c r="F184" s="51">
        <v>1656.95</v>
      </c>
      <c r="G184" s="49" t="str">
        <f>IFERROR(VLOOKUP(Tabla1[[#This Row],[RUTA]],Tabla2[#All],3,0),"")</f>
        <v>CEVA</v>
      </c>
      <c r="H184" s="49" t="str">
        <f>IFERROR(VLOOKUP(Tabla1[[#This Row],[RUTA]],Tabla2[[#All],[RUTA]:[PLACAS]],2,0),"")</f>
        <v>BRY-943</v>
      </c>
      <c r="I184" s="49" t="str">
        <f>IFERROR(VLOOKUP(Tabla1[[#This Row],[RUTA]],Tabla2[[#All],[RUTA]:[CONDUCTOR]],4,0),"")</f>
        <v>DARWIN FUERTES</v>
      </c>
      <c r="J184" s="49" t="str">
        <f>IFERROR(VLOOKUP(Tabla1[[#This Row],[RUTA]],Tabla2[#All],5,0),"")</f>
        <v>BRISA CONDOR</v>
      </c>
      <c r="K184" s="50" t="s">
        <v>16</v>
      </c>
      <c r="L184" s="52"/>
      <c r="M184" s="53"/>
      <c r="N184" s="54" t="str">
        <f>IF(Tabla1[[#This Row],[ESTADO]]="ENTREGADO",IF(Tabla1[[#This Row],[OBSERVACIÓN]]="OK","SI","NO"),"")</f>
        <v/>
      </c>
    </row>
    <row r="185" spans="1:14" x14ac:dyDescent="0.2">
      <c r="A185" s="48">
        <v>45162</v>
      </c>
      <c r="B185" s="49" t="s">
        <v>261</v>
      </c>
      <c r="C185" s="49">
        <v>254</v>
      </c>
      <c r="D185" s="49">
        <v>15</v>
      </c>
      <c r="E185" s="49" t="str">
        <f>VLOOKUP(Tabla1[[#This Row],[ID TIENDA]],Guias[],2,0)</f>
        <v>T994-00164969</v>
      </c>
      <c r="F185" s="51">
        <v>3713.39</v>
      </c>
      <c r="G185" s="49" t="str">
        <f>IFERROR(VLOOKUP(Tabla1[[#This Row],[RUTA]],Tabla2[#All],3,0),"")</f>
        <v>CEVA</v>
      </c>
      <c r="H185" s="49" t="str">
        <f>IFERROR(VLOOKUP(Tabla1[[#This Row],[RUTA]],Tabla2[[#All],[RUTA]:[PLACAS]],2,0),"")</f>
        <v>BRY-943</v>
      </c>
      <c r="I185" s="49" t="str">
        <f>IFERROR(VLOOKUP(Tabla1[[#This Row],[RUTA]],Tabla2[[#All],[RUTA]:[CONDUCTOR]],4,0),"")</f>
        <v>DARWIN FUERTES</v>
      </c>
      <c r="J185" s="49" t="str">
        <f>IFERROR(VLOOKUP(Tabla1[[#This Row],[RUTA]],Tabla2[#All],5,0),"")</f>
        <v>BRISA CONDOR</v>
      </c>
      <c r="K185" s="50" t="s">
        <v>16</v>
      </c>
      <c r="L185" s="52"/>
      <c r="M185" s="53"/>
      <c r="N185" s="54" t="str">
        <f>IF(Tabla1[[#This Row],[ESTADO]]="ENTREGADO",IF(Tabla1[[#This Row],[OBSERVACIÓN]]="OK","SI","NO"),"")</f>
        <v/>
      </c>
    </row>
    <row r="186" spans="1:14" x14ac:dyDescent="0.2">
      <c r="A186" s="48">
        <v>45162</v>
      </c>
      <c r="B186" s="49" t="s">
        <v>262</v>
      </c>
      <c r="C186" s="49">
        <v>307</v>
      </c>
      <c r="D186" s="49">
        <v>15</v>
      </c>
      <c r="E186" s="49" t="str">
        <f>VLOOKUP(Tabla1[[#This Row],[ID TIENDA]],Guias[],2,0)</f>
        <v>T994-00165125</v>
      </c>
      <c r="F186" s="51">
        <v>2843.14</v>
      </c>
      <c r="G186" s="49" t="str">
        <f>IFERROR(VLOOKUP(Tabla1[[#This Row],[RUTA]],Tabla2[#All],3,0),"")</f>
        <v>CEVA</v>
      </c>
      <c r="H186" s="49" t="str">
        <f>IFERROR(VLOOKUP(Tabla1[[#This Row],[RUTA]],Tabla2[[#All],[RUTA]:[PLACAS]],2,0),"")</f>
        <v>BRY-943</v>
      </c>
      <c r="I186" s="49" t="str">
        <f>IFERROR(VLOOKUP(Tabla1[[#This Row],[RUTA]],Tabla2[[#All],[RUTA]:[CONDUCTOR]],4,0),"")</f>
        <v>DARWIN FUERTES</v>
      </c>
      <c r="J186" s="49" t="str">
        <f>IFERROR(VLOOKUP(Tabla1[[#This Row],[RUTA]],Tabla2[#All],5,0),"")</f>
        <v>BRISA CONDOR</v>
      </c>
      <c r="K186" s="50" t="s">
        <v>16</v>
      </c>
      <c r="L186" s="52"/>
      <c r="M186" s="53"/>
      <c r="N186" s="54" t="str">
        <f>IF(Tabla1[[#This Row],[ESTADO]]="ENTREGADO",IF(Tabla1[[#This Row],[OBSERVACIÓN]]="OK","SI","NO"),"")</f>
        <v/>
      </c>
    </row>
    <row r="187" spans="1:14" x14ac:dyDescent="0.2">
      <c r="A187" s="48">
        <v>45162</v>
      </c>
      <c r="B187" s="49" t="s">
        <v>263</v>
      </c>
      <c r="C187" s="49">
        <v>476</v>
      </c>
      <c r="D187" s="49">
        <v>15</v>
      </c>
      <c r="E187" s="49" t="str">
        <f>VLOOKUP(Tabla1[[#This Row],[ID TIENDA]],Guias[],2,0)</f>
        <v>T994-00165153</v>
      </c>
      <c r="F187" s="51">
        <v>2046.78</v>
      </c>
      <c r="G187" s="49" t="str">
        <f>IFERROR(VLOOKUP(Tabla1[[#This Row],[RUTA]],Tabla2[#All],3,0),"")</f>
        <v>CEVA</v>
      </c>
      <c r="H187" s="49" t="str">
        <f>IFERROR(VLOOKUP(Tabla1[[#This Row],[RUTA]],Tabla2[[#All],[RUTA]:[PLACAS]],2,0),"")</f>
        <v>BRY-943</v>
      </c>
      <c r="I187" s="49" t="str">
        <f>IFERROR(VLOOKUP(Tabla1[[#This Row],[RUTA]],Tabla2[[#All],[RUTA]:[CONDUCTOR]],4,0),"")</f>
        <v>DARWIN FUERTES</v>
      </c>
      <c r="J187" s="49" t="str">
        <f>IFERROR(VLOOKUP(Tabla1[[#This Row],[RUTA]],Tabla2[#All],5,0),"")</f>
        <v>BRISA CONDOR</v>
      </c>
      <c r="K187" s="50" t="s">
        <v>16</v>
      </c>
      <c r="L187" s="52"/>
      <c r="M187" s="53"/>
      <c r="N187" s="54" t="str">
        <f>IF(Tabla1[[#This Row],[ESTADO]]="ENTREGADO",IF(Tabla1[[#This Row],[OBSERVACIÓN]]="OK","SI","NO"),"")</f>
        <v/>
      </c>
    </row>
    <row r="188" spans="1:14" x14ac:dyDescent="0.2">
      <c r="A188" s="48">
        <v>45162</v>
      </c>
      <c r="B188" s="49" t="s">
        <v>264</v>
      </c>
      <c r="C188" s="49">
        <v>68</v>
      </c>
      <c r="D188" s="49">
        <v>15</v>
      </c>
      <c r="E188" s="49" t="str">
        <f>VLOOKUP(Tabla1[[#This Row],[ID TIENDA]],Guias[],2,0)</f>
        <v>T994-00165002</v>
      </c>
      <c r="F188" s="51">
        <v>1885.17</v>
      </c>
      <c r="G188" s="49" t="str">
        <f>IFERROR(VLOOKUP(Tabla1[[#This Row],[RUTA]],Tabla2[#All],3,0),"")</f>
        <v>CEVA</v>
      </c>
      <c r="H188" s="49" t="str">
        <f>IFERROR(VLOOKUP(Tabla1[[#This Row],[RUTA]],Tabla2[[#All],[RUTA]:[PLACAS]],2,0),"")</f>
        <v>BRY-943</v>
      </c>
      <c r="I188" s="49" t="str">
        <f>IFERROR(VLOOKUP(Tabla1[[#This Row],[RUTA]],Tabla2[[#All],[RUTA]:[CONDUCTOR]],4,0),"")</f>
        <v>DARWIN FUERTES</v>
      </c>
      <c r="J188" s="49" t="str">
        <f>IFERROR(VLOOKUP(Tabla1[[#This Row],[RUTA]],Tabla2[#All],5,0),"")</f>
        <v>BRISA CONDOR</v>
      </c>
      <c r="K188" s="50" t="s">
        <v>16</v>
      </c>
      <c r="L188" s="52"/>
      <c r="M188" s="53"/>
      <c r="N188" s="54" t="str">
        <f>IF(Tabla1[[#This Row],[ESTADO]]="ENTREGADO",IF(Tabla1[[#This Row],[OBSERVACIÓN]]="OK","SI","NO"),"")</f>
        <v/>
      </c>
    </row>
    <row r="189" spans="1:14" x14ac:dyDescent="0.2">
      <c r="A189" s="48">
        <v>45162</v>
      </c>
      <c r="B189" s="49" t="s">
        <v>265</v>
      </c>
      <c r="C189" s="49">
        <v>521</v>
      </c>
      <c r="D189" s="49">
        <v>15</v>
      </c>
      <c r="E189" s="49" t="str">
        <f>VLOOKUP(Tabla1[[#This Row],[ID TIENDA]],Guias[],2,0)</f>
        <v>T994-00165121</v>
      </c>
      <c r="F189" s="51">
        <v>1780.85</v>
      </c>
      <c r="G189" s="49" t="str">
        <f>IFERROR(VLOOKUP(Tabla1[[#This Row],[RUTA]],Tabla2[#All],3,0),"")</f>
        <v>CEVA</v>
      </c>
      <c r="H189" s="49" t="str">
        <f>IFERROR(VLOOKUP(Tabla1[[#This Row],[RUTA]],Tabla2[[#All],[RUTA]:[PLACAS]],2,0),"")</f>
        <v>BRY-943</v>
      </c>
      <c r="I189" s="49" t="str">
        <f>IFERROR(VLOOKUP(Tabla1[[#This Row],[RUTA]],Tabla2[[#All],[RUTA]:[CONDUCTOR]],4,0),"")</f>
        <v>DARWIN FUERTES</v>
      </c>
      <c r="J189" s="49" t="str">
        <f>IFERROR(VLOOKUP(Tabla1[[#This Row],[RUTA]],Tabla2[#All],5,0),"")</f>
        <v>BRISA CONDOR</v>
      </c>
      <c r="K189" s="50" t="s">
        <v>16</v>
      </c>
      <c r="L189" s="52"/>
      <c r="M189" s="53"/>
      <c r="N189" s="54" t="str">
        <f>IF(Tabla1[[#This Row],[ESTADO]]="ENTREGADO",IF(Tabla1[[#This Row],[OBSERVACIÓN]]="OK","SI","NO"),"")</f>
        <v/>
      </c>
    </row>
    <row r="190" spans="1:14" x14ac:dyDescent="0.2">
      <c r="A190" s="48">
        <v>45162</v>
      </c>
      <c r="B190" s="49" t="s">
        <v>266</v>
      </c>
      <c r="C190" s="49">
        <v>149</v>
      </c>
      <c r="D190" s="49">
        <v>15</v>
      </c>
      <c r="E190" s="49" t="str">
        <f>VLOOKUP(Tabla1[[#This Row],[ID TIENDA]],Guias[],2,0)</f>
        <v>T994-00165014</v>
      </c>
      <c r="F190" s="51">
        <v>1482.71</v>
      </c>
      <c r="G190" s="49" t="str">
        <f>IFERROR(VLOOKUP(Tabla1[[#This Row],[RUTA]],Tabla2[#All],3,0),"")</f>
        <v>CEVA</v>
      </c>
      <c r="H190" s="49" t="str">
        <f>IFERROR(VLOOKUP(Tabla1[[#This Row],[RUTA]],Tabla2[[#All],[RUTA]:[PLACAS]],2,0),"")</f>
        <v>BRY-943</v>
      </c>
      <c r="I190" s="49" t="str">
        <f>IFERROR(VLOOKUP(Tabla1[[#This Row],[RUTA]],Tabla2[[#All],[RUTA]:[CONDUCTOR]],4,0),"")</f>
        <v>DARWIN FUERTES</v>
      </c>
      <c r="J190" s="49" t="str">
        <f>IFERROR(VLOOKUP(Tabla1[[#This Row],[RUTA]],Tabla2[#All],5,0),"")</f>
        <v>BRISA CONDOR</v>
      </c>
      <c r="K190" s="50" t="s">
        <v>16</v>
      </c>
      <c r="L190" s="52"/>
      <c r="M190" s="53"/>
      <c r="N190" s="54" t="str">
        <f>IF(Tabla1[[#This Row],[ESTADO]]="ENTREGADO",IF(Tabla1[[#This Row],[OBSERVACIÓN]]="OK","SI","NO"),"")</f>
        <v/>
      </c>
    </row>
    <row r="191" spans="1:14" x14ac:dyDescent="0.2">
      <c r="A191" s="48">
        <v>45162</v>
      </c>
      <c r="B191" s="49" t="s">
        <v>267</v>
      </c>
      <c r="C191" s="49">
        <v>420</v>
      </c>
      <c r="D191" s="49">
        <v>15</v>
      </c>
      <c r="E191" s="49" t="str">
        <f>VLOOKUP(Tabla1[[#This Row],[ID TIENDA]],Guias[],2,0)</f>
        <v>T994-00165048</v>
      </c>
      <c r="F191" s="51">
        <v>1661.02</v>
      </c>
      <c r="G191" s="49" t="str">
        <f>IFERROR(VLOOKUP(Tabla1[[#This Row],[RUTA]],Tabla2[#All],3,0),"")</f>
        <v>CEVA</v>
      </c>
      <c r="H191" s="49" t="str">
        <f>IFERROR(VLOOKUP(Tabla1[[#This Row],[RUTA]],Tabla2[[#All],[RUTA]:[PLACAS]],2,0),"")</f>
        <v>BRY-943</v>
      </c>
      <c r="I191" s="49" t="str">
        <f>IFERROR(VLOOKUP(Tabla1[[#This Row],[RUTA]],Tabla2[[#All],[RUTA]:[CONDUCTOR]],4,0),"")</f>
        <v>DARWIN FUERTES</v>
      </c>
      <c r="J191" s="49" t="str">
        <f>IFERROR(VLOOKUP(Tabla1[[#This Row],[RUTA]],Tabla2[#All],5,0),"")</f>
        <v>BRISA CONDOR</v>
      </c>
      <c r="K191" s="50" t="s">
        <v>16</v>
      </c>
      <c r="L191" s="52"/>
      <c r="M191" s="53"/>
      <c r="N191" s="54" t="str">
        <f>IF(Tabla1[[#This Row],[ESTADO]]="ENTREGADO",IF(Tabla1[[#This Row],[OBSERVACIÓN]]="OK","SI","NO"),"")</f>
        <v/>
      </c>
    </row>
    <row r="192" spans="1:14" x14ac:dyDescent="0.2">
      <c r="A192" s="48">
        <v>45162</v>
      </c>
      <c r="B192" s="49" t="s">
        <v>268</v>
      </c>
      <c r="C192" s="49">
        <v>178</v>
      </c>
      <c r="D192" s="49">
        <v>15</v>
      </c>
      <c r="E192" s="49" t="str">
        <f>VLOOKUP(Tabla1[[#This Row],[ID TIENDA]],Guias[],2,0)</f>
        <v>T994-00165031</v>
      </c>
      <c r="F192" s="51">
        <v>1910.42</v>
      </c>
      <c r="G192" s="49" t="str">
        <f>IFERROR(VLOOKUP(Tabla1[[#This Row],[RUTA]],Tabla2[#All],3,0),"")</f>
        <v>CEVA</v>
      </c>
      <c r="H192" s="49" t="str">
        <f>IFERROR(VLOOKUP(Tabla1[[#This Row],[RUTA]],Tabla2[[#All],[RUTA]:[PLACAS]],2,0),"")</f>
        <v>BRY-943</v>
      </c>
      <c r="I192" s="49" t="str">
        <f>IFERROR(VLOOKUP(Tabla1[[#This Row],[RUTA]],Tabla2[[#All],[RUTA]:[CONDUCTOR]],4,0),"")</f>
        <v>DARWIN FUERTES</v>
      </c>
      <c r="J192" s="49" t="str">
        <f>IFERROR(VLOOKUP(Tabla1[[#This Row],[RUTA]],Tabla2[#All],5,0),"")</f>
        <v>BRISA CONDOR</v>
      </c>
      <c r="K192" s="50" t="s">
        <v>16</v>
      </c>
      <c r="L192" s="52"/>
      <c r="M192" s="53"/>
      <c r="N192" s="54" t="str">
        <f>IF(Tabla1[[#This Row],[ESTADO]]="ENTREGADO",IF(Tabla1[[#This Row],[OBSERVACIÓN]]="OK","SI","NO"),"")</f>
        <v/>
      </c>
    </row>
    <row r="193" spans="1:14" x14ac:dyDescent="0.2">
      <c r="A193" s="48">
        <v>45162</v>
      </c>
      <c r="B193" s="49" t="s">
        <v>269</v>
      </c>
      <c r="C193" s="49">
        <v>61</v>
      </c>
      <c r="D193" s="49">
        <v>15</v>
      </c>
      <c r="E193" s="49" t="str">
        <f>VLOOKUP(Tabla1[[#This Row],[ID TIENDA]],Guias[],2,0)</f>
        <v>T994-00165134</v>
      </c>
      <c r="F193" s="51">
        <v>1952.03</v>
      </c>
      <c r="G193" s="49" t="str">
        <f>IFERROR(VLOOKUP(Tabla1[[#This Row],[RUTA]],Tabla2[#All],3,0),"")</f>
        <v>CEVA</v>
      </c>
      <c r="H193" s="49" t="str">
        <f>IFERROR(VLOOKUP(Tabla1[[#This Row],[RUTA]],Tabla2[[#All],[RUTA]:[PLACAS]],2,0),"")</f>
        <v>BRY-943</v>
      </c>
      <c r="I193" s="49" t="str">
        <f>IFERROR(VLOOKUP(Tabla1[[#This Row],[RUTA]],Tabla2[[#All],[RUTA]:[CONDUCTOR]],4,0),"")</f>
        <v>DARWIN FUERTES</v>
      </c>
      <c r="J193" s="49" t="str">
        <f>IFERROR(VLOOKUP(Tabla1[[#This Row],[RUTA]],Tabla2[#All],5,0),"")</f>
        <v>BRISA CONDOR</v>
      </c>
      <c r="K193" s="50" t="s">
        <v>16</v>
      </c>
      <c r="L193" s="52"/>
      <c r="M193" s="53"/>
      <c r="N193" s="54" t="str">
        <f>IF(Tabla1[[#This Row],[ESTADO]]="ENTREGADO",IF(Tabla1[[#This Row],[OBSERVACIÓN]]="OK","SI","NO"),"")</f>
        <v/>
      </c>
    </row>
    <row r="194" spans="1:14" x14ac:dyDescent="0.2">
      <c r="A194" s="48">
        <v>45162</v>
      </c>
      <c r="B194" s="49" t="s">
        <v>270</v>
      </c>
      <c r="C194" s="49">
        <v>1</v>
      </c>
      <c r="D194" s="49">
        <v>15</v>
      </c>
      <c r="E194" s="49" t="str">
        <f>VLOOKUP(Tabla1[[#This Row],[ID TIENDA]],Guias[],2,0)</f>
        <v>T994-00165116</v>
      </c>
      <c r="F194" s="51">
        <v>1992.2</v>
      </c>
      <c r="G194" s="49" t="str">
        <f>IFERROR(VLOOKUP(Tabla1[[#This Row],[RUTA]],Tabla2[#All],3,0),"")</f>
        <v>CEVA</v>
      </c>
      <c r="H194" s="49" t="str">
        <f>IFERROR(VLOOKUP(Tabla1[[#This Row],[RUTA]],Tabla2[[#All],[RUTA]:[PLACAS]],2,0),"")</f>
        <v>BRY-943</v>
      </c>
      <c r="I194" s="49" t="str">
        <f>IFERROR(VLOOKUP(Tabla1[[#This Row],[RUTA]],Tabla2[[#All],[RUTA]:[CONDUCTOR]],4,0),"")</f>
        <v>DARWIN FUERTES</v>
      </c>
      <c r="J194" s="49" t="str">
        <f>IFERROR(VLOOKUP(Tabla1[[#This Row],[RUTA]],Tabla2[#All],5,0),"")</f>
        <v>BRISA CONDOR</v>
      </c>
      <c r="K194" s="50" t="s">
        <v>16</v>
      </c>
      <c r="L194" s="52"/>
      <c r="M194" s="53"/>
      <c r="N194" s="54" t="str">
        <f>IF(Tabla1[[#This Row],[ESTADO]]="ENTREGADO",IF(Tabla1[[#This Row],[OBSERVACIÓN]]="OK","SI","NO"),"")</f>
        <v/>
      </c>
    </row>
    <row r="195" spans="1:14" x14ac:dyDescent="0.2">
      <c r="A195" s="48">
        <v>45162</v>
      </c>
      <c r="B195" s="49" t="s">
        <v>271</v>
      </c>
      <c r="C195" s="49">
        <v>28</v>
      </c>
      <c r="D195" s="49">
        <v>15</v>
      </c>
      <c r="E195" s="49" t="str">
        <f>VLOOKUP(Tabla1[[#This Row],[ID TIENDA]],Guias[],2,0)</f>
        <v>T994-00165132</v>
      </c>
      <c r="F195" s="51">
        <v>2415</v>
      </c>
      <c r="G195" s="49" t="str">
        <f>IFERROR(VLOOKUP(Tabla1[[#This Row],[RUTA]],Tabla2[#All],3,0),"")</f>
        <v>CEVA</v>
      </c>
      <c r="H195" s="49" t="str">
        <f>IFERROR(VLOOKUP(Tabla1[[#This Row],[RUTA]],Tabla2[[#All],[RUTA]:[PLACAS]],2,0),"")</f>
        <v>BRY-943</v>
      </c>
      <c r="I195" s="49" t="str">
        <f>IFERROR(VLOOKUP(Tabla1[[#This Row],[RUTA]],Tabla2[[#All],[RUTA]:[CONDUCTOR]],4,0),"")</f>
        <v>DARWIN FUERTES</v>
      </c>
      <c r="J195" s="49" t="str">
        <f>IFERROR(VLOOKUP(Tabla1[[#This Row],[RUTA]],Tabla2[#All],5,0),"")</f>
        <v>BRISA CONDOR</v>
      </c>
      <c r="K195" s="50" t="s">
        <v>16</v>
      </c>
      <c r="L195" s="52"/>
      <c r="M195" s="53"/>
      <c r="N195" s="54" t="str">
        <f>IF(Tabla1[[#This Row],[ESTADO]]="ENTREGADO",IF(Tabla1[[#This Row],[OBSERVACIÓN]]="OK","SI","NO"),"")</f>
        <v/>
      </c>
    </row>
    <row r="196" spans="1:14" x14ac:dyDescent="0.2">
      <c r="A196" s="48">
        <v>45162</v>
      </c>
      <c r="B196" s="49" t="s">
        <v>272</v>
      </c>
      <c r="C196" s="49">
        <v>8</v>
      </c>
      <c r="D196" s="49">
        <v>15</v>
      </c>
      <c r="E196" s="49" t="str">
        <f>VLOOKUP(Tabla1[[#This Row],[ID TIENDA]],Guias[],2,0)</f>
        <v>T994-00165003</v>
      </c>
      <c r="F196" s="51">
        <v>2190.59</v>
      </c>
      <c r="G196" s="49" t="str">
        <f>IFERROR(VLOOKUP(Tabla1[[#This Row],[RUTA]],Tabla2[#All],3,0),"")</f>
        <v>CEVA</v>
      </c>
      <c r="H196" s="49" t="str">
        <f>IFERROR(VLOOKUP(Tabla1[[#This Row],[RUTA]],Tabla2[[#All],[RUTA]:[PLACAS]],2,0),"")</f>
        <v>BRY-943</v>
      </c>
      <c r="I196" s="49" t="str">
        <f>IFERROR(VLOOKUP(Tabla1[[#This Row],[RUTA]],Tabla2[[#All],[RUTA]:[CONDUCTOR]],4,0),"")</f>
        <v>DARWIN FUERTES</v>
      </c>
      <c r="J196" s="49" t="str">
        <f>IFERROR(VLOOKUP(Tabla1[[#This Row],[RUTA]],Tabla2[#All],5,0),"")</f>
        <v>BRISA CONDOR</v>
      </c>
      <c r="K196" s="50" t="s">
        <v>16</v>
      </c>
      <c r="L196" s="52"/>
      <c r="M196" s="53"/>
      <c r="N196" s="54" t="str">
        <f>IF(Tabla1[[#This Row],[ESTADO]]="ENTREGADO",IF(Tabla1[[#This Row],[OBSERVACIÓN]]="OK","SI","NO"),"")</f>
        <v/>
      </c>
    </row>
    <row r="197" spans="1:14" x14ac:dyDescent="0.2">
      <c r="A197" s="48">
        <v>45162</v>
      </c>
      <c r="B197" s="49" t="s">
        <v>273</v>
      </c>
      <c r="C197" s="49">
        <v>285</v>
      </c>
      <c r="D197" s="49">
        <v>15</v>
      </c>
      <c r="E197" s="49" t="str">
        <f>VLOOKUP(Tabla1[[#This Row],[ID TIENDA]],Guias[],2,0)</f>
        <v>T994-00165123</v>
      </c>
      <c r="F197" s="51">
        <v>1790.85</v>
      </c>
      <c r="G197" s="49" t="str">
        <f>IFERROR(VLOOKUP(Tabla1[[#This Row],[RUTA]],Tabla2[#All],3,0),"")</f>
        <v>CEVA</v>
      </c>
      <c r="H197" s="49" t="str">
        <f>IFERROR(VLOOKUP(Tabla1[[#This Row],[RUTA]],Tabla2[[#All],[RUTA]:[PLACAS]],2,0),"")</f>
        <v>BRY-943</v>
      </c>
      <c r="I197" s="49" t="str">
        <f>IFERROR(VLOOKUP(Tabla1[[#This Row],[RUTA]],Tabla2[[#All],[RUTA]:[CONDUCTOR]],4,0),"")</f>
        <v>DARWIN FUERTES</v>
      </c>
      <c r="J197" s="49" t="str">
        <f>IFERROR(VLOOKUP(Tabla1[[#This Row],[RUTA]],Tabla2[#All],5,0),"")</f>
        <v>BRISA CONDOR</v>
      </c>
      <c r="K197" s="50" t="s">
        <v>16</v>
      </c>
      <c r="L197" s="52"/>
      <c r="M197" s="53"/>
      <c r="N197" s="54" t="str">
        <f>IF(Tabla1[[#This Row],[ESTADO]]="ENTREGADO",IF(Tabla1[[#This Row],[OBSERVACIÓN]]="OK","SI","NO"),"")</f>
        <v/>
      </c>
    </row>
    <row r="198" spans="1:14" x14ac:dyDescent="0.2">
      <c r="A198" s="48">
        <v>45162</v>
      </c>
      <c r="B198" s="49" t="s">
        <v>274</v>
      </c>
      <c r="C198" s="49">
        <v>339</v>
      </c>
      <c r="D198" s="49" t="s">
        <v>94</v>
      </c>
      <c r="E198" s="49" t="str">
        <f>VLOOKUP(Tabla1[[#This Row],[ID TIENDA]],Guias[],2,0)</f>
        <v>T994-00165127</v>
      </c>
      <c r="F198" s="51">
        <v>2866.69</v>
      </c>
      <c r="G198" s="49" t="str">
        <f>IFERROR(VLOOKUP(Tabla1[[#This Row],[RUTA]],Tabla2[#All],3,0),"")</f>
        <v>LEYVA</v>
      </c>
      <c r="H198" s="49" t="str">
        <f>IFERROR(VLOOKUP(Tabla1[[#This Row],[RUTA]],Tabla2[[#All],[RUTA]:[PLACAS]],2,0),"")</f>
        <v>BKV-779</v>
      </c>
      <c r="I198" s="49" t="str">
        <f>IFERROR(VLOOKUP(Tabla1[[#This Row],[RUTA]],Tabla2[[#All],[RUTA]:[CONDUCTOR]],4,0),"")</f>
        <v>AGUSTO</v>
      </c>
      <c r="J198" s="49" t="str">
        <f>IFERROR(VLOOKUP(Tabla1[[#This Row],[RUTA]],Tabla2[#All],5,0),"")</f>
        <v>JAIME</v>
      </c>
      <c r="K198" s="50" t="s">
        <v>16</v>
      </c>
      <c r="L198" s="52"/>
      <c r="M198" s="53"/>
      <c r="N198" s="54" t="str">
        <f>IF(Tabla1[[#This Row],[ESTADO]]="ENTREGADO",IF(Tabla1[[#This Row],[OBSERVACIÓN]]="OK","SI","NO"),"")</f>
        <v/>
      </c>
    </row>
    <row r="199" spans="1:14" x14ac:dyDescent="0.2">
      <c r="A199" s="48">
        <v>45162</v>
      </c>
      <c r="B199" s="49" t="s">
        <v>275</v>
      </c>
      <c r="C199" s="49">
        <v>529</v>
      </c>
      <c r="D199" s="49" t="s">
        <v>94</v>
      </c>
      <c r="E199" s="49" t="str">
        <f>VLOOKUP(Tabla1[[#This Row],[ID TIENDA]],Guias[],2,0)</f>
        <v>T994-00165015</v>
      </c>
      <c r="F199" s="51">
        <v>1826.36</v>
      </c>
      <c r="G199" s="49" t="str">
        <f>IFERROR(VLOOKUP(Tabla1[[#This Row],[RUTA]],Tabla2[#All],3,0),"")</f>
        <v>LEYVA</v>
      </c>
      <c r="H199" s="49" t="str">
        <f>IFERROR(VLOOKUP(Tabla1[[#This Row],[RUTA]],Tabla2[[#All],[RUTA]:[PLACAS]],2,0),"")</f>
        <v>BKV-779</v>
      </c>
      <c r="I199" s="49" t="str">
        <f>IFERROR(VLOOKUP(Tabla1[[#This Row],[RUTA]],Tabla2[[#All],[RUTA]:[CONDUCTOR]],4,0),"")</f>
        <v>AGUSTO</v>
      </c>
      <c r="J199" s="49" t="str">
        <f>IFERROR(VLOOKUP(Tabla1[[#This Row],[RUTA]],Tabla2[#All],5,0),"")</f>
        <v>JAIME</v>
      </c>
      <c r="K199" s="50" t="s">
        <v>16</v>
      </c>
      <c r="L199" s="52"/>
      <c r="M199" s="53"/>
      <c r="N199" s="54" t="str">
        <f>IF(Tabla1[[#This Row],[ESTADO]]="ENTREGADO",IF(Tabla1[[#This Row],[OBSERVACIÓN]]="OK","SI","NO"),"")</f>
        <v/>
      </c>
    </row>
    <row r="200" spans="1:14" x14ac:dyDescent="0.2">
      <c r="A200" s="48">
        <v>45162</v>
      </c>
      <c r="B200" s="49" t="s">
        <v>276</v>
      </c>
      <c r="C200" s="49">
        <v>432</v>
      </c>
      <c r="D200" s="49" t="s">
        <v>94</v>
      </c>
      <c r="E200" s="49" t="str">
        <f>VLOOKUP(Tabla1[[#This Row],[ID TIENDA]],Guias[],2,0)</f>
        <v>T994-00165012</v>
      </c>
      <c r="F200" s="51">
        <v>1566.95</v>
      </c>
      <c r="G200" s="49" t="str">
        <f>IFERROR(VLOOKUP(Tabla1[[#This Row],[RUTA]],Tabla2[#All],3,0),"")</f>
        <v>LEYVA</v>
      </c>
      <c r="H200" s="49" t="str">
        <f>IFERROR(VLOOKUP(Tabla1[[#This Row],[RUTA]],Tabla2[[#All],[RUTA]:[PLACAS]],2,0),"")</f>
        <v>BKV-779</v>
      </c>
      <c r="I200" s="49" t="str">
        <f>IFERROR(VLOOKUP(Tabla1[[#This Row],[RUTA]],Tabla2[[#All],[RUTA]:[CONDUCTOR]],4,0),"")</f>
        <v>AGUSTO</v>
      </c>
      <c r="J200" s="49" t="str">
        <f>IFERROR(VLOOKUP(Tabla1[[#This Row],[RUTA]],Tabla2[#All],5,0),"")</f>
        <v>JAIME</v>
      </c>
      <c r="K200" s="50" t="s">
        <v>16</v>
      </c>
      <c r="L200" s="52"/>
      <c r="M200" s="53"/>
      <c r="N200" s="54" t="str">
        <f>IF(Tabla1[[#This Row],[ESTADO]]="ENTREGADO",IF(Tabla1[[#This Row],[OBSERVACIÓN]]="OK","SI","NO"),"")</f>
        <v/>
      </c>
    </row>
    <row r="201" spans="1:14" x14ac:dyDescent="0.2">
      <c r="A201" s="48">
        <v>45162</v>
      </c>
      <c r="B201" s="49" t="s">
        <v>277</v>
      </c>
      <c r="C201" s="49">
        <v>433</v>
      </c>
      <c r="D201" s="49" t="s">
        <v>94</v>
      </c>
      <c r="E201" s="49" t="str">
        <f>VLOOKUP(Tabla1[[#This Row],[ID TIENDA]],Guias[],2,0)</f>
        <v>T994-00165137</v>
      </c>
      <c r="F201" s="51">
        <v>2419.58</v>
      </c>
      <c r="G201" s="49" t="str">
        <f>IFERROR(VLOOKUP(Tabla1[[#This Row],[RUTA]],Tabla2[#All],3,0),"")</f>
        <v>LEYVA</v>
      </c>
      <c r="H201" s="49" t="str">
        <f>IFERROR(VLOOKUP(Tabla1[[#This Row],[RUTA]],Tabla2[[#All],[RUTA]:[PLACAS]],2,0),"")</f>
        <v>BKV-779</v>
      </c>
      <c r="I201" s="49" t="str">
        <f>IFERROR(VLOOKUP(Tabla1[[#This Row],[RUTA]],Tabla2[[#All],[RUTA]:[CONDUCTOR]],4,0),"")</f>
        <v>AGUSTO</v>
      </c>
      <c r="J201" s="49" t="str">
        <f>IFERROR(VLOOKUP(Tabla1[[#This Row],[RUTA]],Tabla2[#All],5,0),"")</f>
        <v>JAIME</v>
      </c>
      <c r="K201" s="50" t="s">
        <v>16</v>
      </c>
      <c r="L201" s="52"/>
      <c r="M201" s="53"/>
      <c r="N201" s="54" t="str">
        <f>IF(Tabla1[[#This Row],[ESTADO]]="ENTREGADO",IF(Tabla1[[#This Row],[OBSERVACIÓN]]="OK","SI","NO"),"")</f>
        <v/>
      </c>
    </row>
    <row r="202" spans="1:14" x14ac:dyDescent="0.2">
      <c r="A202" s="48">
        <v>45162</v>
      </c>
      <c r="B202" s="49" t="s">
        <v>278</v>
      </c>
      <c r="C202" s="49">
        <v>519</v>
      </c>
      <c r="D202" s="49" t="s">
        <v>94</v>
      </c>
      <c r="E202" s="49" t="str">
        <f>VLOOKUP(Tabla1[[#This Row],[ID TIENDA]],Guias[],2,0)</f>
        <v>T994-00165066</v>
      </c>
      <c r="F202" s="51">
        <v>2540.59</v>
      </c>
      <c r="G202" s="49" t="str">
        <f>IFERROR(VLOOKUP(Tabla1[[#This Row],[RUTA]],Tabla2[#All],3,0),"")</f>
        <v>LEYVA</v>
      </c>
      <c r="H202" s="49" t="str">
        <f>IFERROR(VLOOKUP(Tabla1[[#This Row],[RUTA]],Tabla2[[#All],[RUTA]:[PLACAS]],2,0),"")</f>
        <v>BKV-779</v>
      </c>
      <c r="I202" s="49" t="str">
        <f>IFERROR(VLOOKUP(Tabla1[[#This Row],[RUTA]],Tabla2[[#All],[RUTA]:[CONDUCTOR]],4,0),"")</f>
        <v>AGUSTO</v>
      </c>
      <c r="J202" s="49" t="str">
        <f>IFERROR(VLOOKUP(Tabla1[[#This Row],[RUTA]],Tabla2[#All],5,0),"")</f>
        <v>JAIME</v>
      </c>
      <c r="K202" s="50" t="s">
        <v>16</v>
      </c>
      <c r="L202" s="52"/>
      <c r="M202" s="53"/>
      <c r="N202" s="54" t="str">
        <f>IF(Tabla1[[#This Row],[ESTADO]]="ENTREGADO",IF(Tabla1[[#This Row],[OBSERVACIÓN]]="OK","SI","NO"),"")</f>
        <v/>
      </c>
    </row>
    <row r="203" spans="1:14" x14ac:dyDescent="0.2">
      <c r="A203" s="48">
        <v>45162</v>
      </c>
      <c r="B203" s="49" t="s">
        <v>279</v>
      </c>
      <c r="C203" s="49">
        <v>241</v>
      </c>
      <c r="D203" s="49" t="s">
        <v>95</v>
      </c>
      <c r="E203" s="49" t="str">
        <f>VLOOKUP(Tabla1[[#This Row],[ID TIENDA]],Guias[],2,0)</f>
        <v>T994-00165168</v>
      </c>
      <c r="F203" s="51">
        <v>3506.02</v>
      </c>
      <c r="G203" s="49" t="str">
        <f>IFERROR(VLOOKUP(Tabla1[[#This Row],[RUTA]],Tabla2[#All],3,0),"")</f>
        <v>LEYVA</v>
      </c>
      <c r="H203" s="49" t="str">
        <f>IFERROR(VLOOKUP(Tabla1[[#This Row],[RUTA]],Tabla2[[#All],[RUTA]:[PLACAS]],2,0),"")</f>
        <v>BSL-904</v>
      </c>
      <c r="I203" s="49" t="str">
        <f>IFERROR(VLOOKUP(Tabla1[[#This Row],[RUTA]],Tabla2[[#All],[RUTA]:[CONDUCTOR]],4,0),"")</f>
        <v>JUAN C,</v>
      </c>
      <c r="J203" s="49" t="str">
        <f>IFERROR(VLOOKUP(Tabla1[[#This Row],[RUTA]],Tabla2[#All],5,0),"")</f>
        <v>KEVIN</v>
      </c>
      <c r="K203" s="50" t="s">
        <v>16</v>
      </c>
      <c r="L203" s="52"/>
      <c r="M203" s="53"/>
      <c r="N203" s="54" t="str">
        <f>IF(Tabla1[[#This Row],[ESTADO]]="ENTREGADO",IF(Tabla1[[#This Row],[OBSERVACIÓN]]="OK","SI","NO"),"")</f>
        <v/>
      </c>
    </row>
    <row r="204" spans="1:14" x14ac:dyDescent="0.2">
      <c r="A204" s="48">
        <v>45162</v>
      </c>
      <c r="B204" s="49" t="s">
        <v>280</v>
      </c>
      <c r="C204" s="49">
        <v>234</v>
      </c>
      <c r="D204" s="49" t="s">
        <v>95</v>
      </c>
      <c r="E204" s="49" t="str">
        <f>VLOOKUP(Tabla1[[#This Row],[ID TIENDA]],Guias[],2,0)</f>
        <v>T994-00165022</v>
      </c>
      <c r="F204" s="51">
        <v>1462.97</v>
      </c>
      <c r="G204" s="49" t="str">
        <f>IFERROR(VLOOKUP(Tabla1[[#This Row],[RUTA]],Tabla2[#All],3,0),"")</f>
        <v>LEYVA</v>
      </c>
      <c r="H204" s="49" t="str">
        <f>IFERROR(VLOOKUP(Tabla1[[#This Row],[RUTA]],Tabla2[[#All],[RUTA]:[PLACAS]],2,0),"")</f>
        <v>BSL-904</v>
      </c>
      <c r="I204" s="49" t="str">
        <f>IFERROR(VLOOKUP(Tabla1[[#This Row],[RUTA]],Tabla2[[#All],[RUTA]:[CONDUCTOR]],4,0),"")</f>
        <v>JUAN C,</v>
      </c>
      <c r="J204" s="49" t="str">
        <f>IFERROR(VLOOKUP(Tabla1[[#This Row],[RUTA]],Tabla2[#All],5,0),"")</f>
        <v>KEVIN</v>
      </c>
      <c r="K204" s="50" t="s">
        <v>16</v>
      </c>
      <c r="L204" s="52"/>
      <c r="M204" s="53"/>
      <c r="N204" s="54" t="str">
        <f>IF(Tabla1[[#This Row],[ESTADO]]="ENTREGADO",IF(Tabla1[[#This Row],[OBSERVACIÓN]]="OK","SI","NO"),"")</f>
        <v/>
      </c>
    </row>
    <row r="205" spans="1:14" x14ac:dyDescent="0.2">
      <c r="A205" s="48">
        <v>45162</v>
      </c>
      <c r="B205" s="49" t="s">
        <v>281</v>
      </c>
      <c r="C205" s="49">
        <v>327</v>
      </c>
      <c r="D205" s="49" t="s">
        <v>95</v>
      </c>
      <c r="E205" s="49" t="str">
        <f>VLOOKUP(Tabla1[[#This Row],[ID TIENDA]],Guias[],2,0)</f>
        <v>T994-00165164</v>
      </c>
      <c r="F205" s="51">
        <v>1913.64</v>
      </c>
      <c r="G205" s="49" t="str">
        <f>IFERROR(VLOOKUP(Tabla1[[#This Row],[RUTA]],Tabla2[#All],3,0),"")</f>
        <v>LEYVA</v>
      </c>
      <c r="H205" s="49" t="str">
        <f>IFERROR(VLOOKUP(Tabla1[[#This Row],[RUTA]],Tabla2[[#All],[RUTA]:[PLACAS]],2,0),"")</f>
        <v>BSL-904</v>
      </c>
      <c r="I205" s="49" t="str">
        <f>IFERROR(VLOOKUP(Tabla1[[#This Row],[RUTA]],Tabla2[[#All],[RUTA]:[CONDUCTOR]],4,0),"")</f>
        <v>JUAN C,</v>
      </c>
      <c r="J205" s="49" t="str">
        <f>IFERROR(VLOOKUP(Tabla1[[#This Row],[RUTA]],Tabla2[#All],5,0),"")</f>
        <v>KEVIN</v>
      </c>
      <c r="K205" s="50" t="s">
        <v>16</v>
      </c>
      <c r="L205" s="52"/>
      <c r="M205" s="53"/>
      <c r="N205" s="54" t="str">
        <f>IF(Tabla1[[#This Row],[ESTADO]]="ENTREGADO",IF(Tabla1[[#This Row],[OBSERVACIÓN]]="OK","SI","NO"),"")</f>
        <v/>
      </c>
    </row>
    <row r="206" spans="1:14" x14ac:dyDescent="0.2">
      <c r="A206" s="48">
        <v>45162</v>
      </c>
      <c r="B206" s="49" t="s">
        <v>282</v>
      </c>
      <c r="C206" s="49">
        <v>78</v>
      </c>
      <c r="D206" s="49" t="s">
        <v>95</v>
      </c>
      <c r="E206" s="49" t="str">
        <f>VLOOKUP(Tabla1[[#This Row],[ID TIENDA]],Guias[],2,0)</f>
        <v>T994-00165082</v>
      </c>
      <c r="F206" s="51">
        <v>3487.8</v>
      </c>
      <c r="G206" s="49" t="str">
        <f>IFERROR(VLOOKUP(Tabla1[[#This Row],[RUTA]],Tabla2[#All],3,0),"")</f>
        <v>LEYVA</v>
      </c>
      <c r="H206" s="49" t="str">
        <f>IFERROR(VLOOKUP(Tabla1[[#This Row],[RUTA]],Tabla2[[#All],[RUTA]:[PLACAS]],2,0),"")</f>
        <v>BSL-904</v>
      </c>
      <c r="I206" s="49" t="str">
        <f>IFERROR(VLOOKUP(Tabla1[[#This Row],[RUTA]],Tabla2[[#All],[RUTA]:[CONDUCTOR]],4,0),"")</f>
        <v>JUAN C,</v>
      </c>
      <c r="J206" s="49" t="str">
        <f>IFERROR(VLOOKUP(Tabla1[[#This Row],[RUTA]],Tabla2[#All],5,0),"")</f>
        <v>KEVIN</v>
      </c>
      <c r="K206" s="50" t="s">
        <v>16</v>
      </c>
      <c r="L206" s="52"/>
      <c r="M206" s="53"/>
      <c r="N206" s="54" t="str">
        <f>IF(Tabla1[[#This Row],[ESTADO]]="ENTREGADO",IF(Tabla1[[#This Row],[OBSERVACIÓN]]="OK","SI","NO"),"")</f>
        <v/>
      </c>
    </row>
    <row r="207" spans="1:14" x14ac:dyDescent="0.2">
      <c r="A207" s="48">
        <v>45162</v>
      </c>
      <c r="B207" s="49" t="s">
        <v>283</v>
      </c>
      <c r="C207" s="49">
        <v>511</v>
      </c>
      <c r="D207" s="49" t="s">
        <v>95</v>
      </c>
      <c r="E207" s="49" t="str">
        <f>VLOOKUP(Tabla1[[#This Row],[ID TIENDA]],Guias[],2,0)</f>
        <v>T994-00165044</v>
      </c>
      <c r="F207" s="51">
        <v>1564.15</v>
      </c>
      <c r="G207" s="49" t="str">
        <f>IFERROR(VLOOKUP(Tabla1[[#This Row],[RUTA]],Tabla2[#All],3,0),"")</f>
        <v>LEYVA</v>
      </c>
      <c r="H207" s="49" t="str">
        <f>IFERROR(VLOOKUP(Tabla1[[#This Row],[RUTA]],Tabla2[[#All],[RUTA]:[PLACAS]],2,0),"")</f>
        <v>BSL-904</v>
      </c>
      <c r="I207" s="49" t="str">
        <f>IFERROR(VLOOKUP(Tabla1[[#This Row],[RUTA]],Tabla2[[#All],[RUTA]:[CONDUCTOR]],4,0),"")</f>
        <v>JUAN C,</v>
      </c>
      <c r="J207" s="49" t="str">
        <f>IFERROR(VLOOKUP(Tabla1[[#This Row],[RUTA]],Tabla2[#All],5,0),"")</f>
        <v>KEVIN</v>
      </c>
      <c r="K207" s="50" t="s">
        <v>16</v>
      </c>
      <c r="L207" s="52"/>
      <c r="M207" s="53"/>
      <c r="N207" s="54" t="str">
        <f>IF(Tabla1[[#This Row],[ESTADO]]="ENTREGADO",IF(Tabla1[[#This Row],[OBSERVACIÓN]]="OK","SI","NO"),"")</f>
        <v/>
      </c>
    </row>
    <row r="208" spans="1:14" x14ac:dyDescent="0.2">
      <c r="A208" s="48">
        <v>45162</v>
      </c>
      <c r="B208" s="49" t="s">
        <v>284</v>
      </c>
      <c r="C208" s="49">
        <v>215</v>
      </c>
      <c r="D208" s="49" t="s">
        <v>95</v>
      </c>
      <c r="E208" s="49" t="str">
        <f>VLOOKUP(Tabla1[[#This Row],[ID TIENDA]],Guias[],2,0)</f>
        <v>T994-00165099</v>
      </c>
      <c r="F208" s="51">
        <v>1394.66</v>
      </c>
      <c r="G208" s="49" t="str">
        <f>IFERROR(VLOOKUP(Tabla1[[#This Row],[RUTA]],Tabla2[#All],3,0),"")</f>
        <v>LEYVA</v>
      </c>
      <c r="H208" s="49" t="str">
        <f>IFERROR(VLOOKUP(Tabla1[[#This Row],[RUTA]],Tabla2[[#All],[RUTA]:[PLACAS]],2,0),"")</f>
        <v>BSL-904</v>
      </c>
      <c r="I208" s="49" t="str">
        <f>IFERROR(VLOOKUP(Tabla1[[#This Row],[RUTA]],Tabla2[[#All],[RUTA]:[CONDUCTOR]],4,0),"")</f>
        <v>JUAN C,</v>
      </c>
      <c r="J208" s="49" t="str">
        <f>IFERROR(VLOOKUP(Tabla1[[#This Row],[RUTA]],Tabla2[#All],5,0),"")</f>
        <v>KEVIN</v>
      </c>
      <c r="K208" s="50" t="s">
        <v>16</v>
      </c>
      <c r="L208" s="52"/>
      <c r="M208" s="53"/>
      <c r="N208" s="54" t="str">
        <f>IF(Tabla1[[#This Row],[ESTADO]]="ENTREGADO",IF(Tabla1[[#This Row],[OBSERVACIÓN]]="OK","SI","NO"),"")</f>
        <v/>
      </c>
    </row>
    <row r="209" spans="1:14" x14ac:dyDescent="0.2">
      <c r="A209" s="48">
        <v>45162</v>
      </c>
      <c r="B209" s="49" t="s">
        <v>285</v>
      </c>
      <c r="C209" s="49">
        <v>403</v>
      </c>
      <c r="D209" s="49" t="s">
        <v>95</v>
      </c>
      <c r="E209" s="49" t="str">
        <f>VLOOKUP(Tabla1[[#This Row],[ID TIENDA]],Guias[],2,0)</f>
        <v>T994-00165140</v>
      </c>
      <c r="F209" s="51">
        <v>2437.63</v>
      </c>
      <c r="G209" s="49" t="str">
        <f>IFERROR(VLOOKUP(Tabla1[[#This Row],[RUTA]],Tabla2[#All],3,0),"")</f>
        <v>LEYVA</v>
      </c>
      <c r="H209" s="49" t="str">
        <f>IFERROR(VLOOKUP(Tabla1[[#This Row],[RUTA]],Tabla2[[#All],[RUTA]:[PLACAS]],2,0),"")</f>
        <v>BSL-904</v>
      </c>
      <c r="I209" s="49" t="str">
        <f>IFERROR(VLOOKUP(Tabla1[[#This Row],[RUTA]],Tabla2[[#All],[RUTA]:[CONDUCTOR]],4,0),"")</f>
        <v>JUAN C,</v>
      </c>
      <c r="J209" s="49" t="str">
        <f>IFERROR(VLOOKUP(Tabla1[[#This Row],[RUTA]],Tabla2[#All],5,0),"")</f>
        <v>KEVIN</v>
      </c>
      <c r="K209" s="50" t="s">
        <v>16</v>
      </c>
      <c r="L209" s="52"/>
      <c r="M209" s="53"/>
      <c r="N209" s="54" t="str">
        <f>IF(Tabla1[[#This Row],[ESTADO]]="ENTREGADO",IF(Tabla1[[#This Row],[OBSERVACIÓN]]="OK","SI","NO"),"")</f>
        <v/>
      </c>
    </row>
    <row r="210" spans="1:14" x14ac:dyDescent="0.2">
      <c r="A210" s="48">
        <v>45162</v>
      </c>
      <c r="B210" s="49" t="s">
        <v>286</v>
      </c>
      <c r="C210" s="49">
        <v>128</v>
      </c>
      <c r="D210" s="49" t="s">
        <v>95</v>
      </c>
      <c r="E210" s="49" t="str">
        <f>VLOOKUP(Tabla1[[#This Row],[ID TIENDA]],Guias[],2,0)</f>
        <v>T994-00165052</v>
      </c>
      <c r="F210" s="51">
        <v>1755.85</v>
      </c>
      <c r="G210" s="49" t="str">
        <f>IFERROR(VLOOKUP(Tabla1[[#This Row],[RUTA]],Tabla2[#All],3,0),"")</f>
        <v>LEYVA</v>
      </c>
      <c r="H210" s="49" t="str">
        <f>IFERROR(VLOOKUP(Tabla1[[#This Row],[RUTA]],Tabla2[[#All],[RUTA]:[PLACAS]],2,0),"")</f>
        <v>BSL-904</v>
      </c>
      <c r="I210" s="49" t="str">
        <f>IFERROR(VLOOKUP(Tabla1[[#This Row],[RUTA]],Tabla2[[#All],[RUTA]:[CONDUCTOR]],4,0),"")</f>
        <v>JUAN C,</v>
      </c>
      <c r="J210" s="49" t="str">
        <f>IFERROR(VLOOKUP(Tabla1[[#This Row],[RUTA]],Tabla2[#All],5,0),"")</f>
        <v>KEVIN</v>
      </c>
      <c r="K210" s="50" t="s">
        <v>16</v>
      </c>
      <c r="L210" s="52"/>
      <c r="M210" s="53"/>
      <c r="N210" s="54" t="str">
        <f>IF(Tabla1[[#This Row],[ESTADO]]="ENTREGADO",IF(Tabla1[[#This Row],[OBSERVACIÓN]]="OK","SI","NO"),"")</f>
        <v/>
      </c>
    </row>
    <row r="211" spans="1:14" x14ac:dyDescent="0.2">
      <c r="A211" s="48">
        <v>45162</v>
      </c>
      <c r="B211" s="49" t="s">
        <v>287</v>
      </c>
      <c r="C211" s="49">
        <v>242</v>
      </c>
      <c r="D211" s="49" t="s">
        <v>95</v>
      </c>
      <c r="E211" s="49" t="str">
        <f>VLOOKUP(Tabla1[[#This Row],[ID TIENDA]],Guias[],2,0)</f>
        <v>T994-00165130</v>
      </c>
      <c r="F211" s="51">
        <v>492.8</v>
      </c>
      <c r="G211" s="49" t="str">
        <f>IFERROR(VLOOKUP(Tabla1[[#This Row],[RUTA]],Tabla2[#All],3,0),"")</f>
        <v>LEYVA</v>
      </c>
      <c r="H211" s="49" t="str">
        <f>IFERROR(VLOOKUP(Tabla1[[#This Row],[RUTA]],Tabla2[[#All],[RUTA]:[PLACAS]],2,0),"")</f>
        <v>BSL-904</v>
      </c>
      <c r="I211" s="49" t="str">
        <f>IFERROR(VLOOKUP(Tabla1[[#This Row],[RUTA]],Tabla2[[#All],[RUTA]:[CONDUCTOR]],4,0),"")</f>
        <v>JUAN C,</v>
      </c>
      <c r="J211" s="49" t="str">
        <f>IFERROR(VLOOKUP(Tabla1[[#This Row],[RUTA]],Tabla2[#All],5,0),"")</f>
        <v>KEVIN</v>
      </c>
      <c r="K211" s="50" t="s">
        <v>16</v>
      </c>
      <c r="L211" s="52"/>
      <c r="M211" s="53"/>
      <c r="N211" s="54" t="str">
        <f>IF(Tabla1[[#This Row],[ESTADO]]="ENTREGADO",IF(Tabla1[[#This Row],[OBSERVACIÓN]]="OK","SI","NO"),"")</f>
        <v/>
      </c>
    </row>
    <row r="212" spans="1:14" x14ac:dyDescent="0.2">
      <c r="A212" s="48">
        <v>45162</v>
      </c>
      <c r="B212" s="49" t="s">
        <v>288</v>
      </c>
      <c r="C212" s="49">
        <v>103</v>
      </c>
      <c r="D212" s="49" t="s">
        <v>95</v>
      </c>
      <c r="E212" s="49" t="str">
        <f>VLOOKUP(Tabla1[[#This Row],[ID TIENDA]],Guias[],2,0)</f>
        <v>T994-00165146</v>
      </c>
      <c r="F212" s="51">
        <v>2091.19</v>
      </c>
      <c r="G212" s="49" t="str">
        <f>IFERROR(VLOOKUP(Tabla1[[#This Row],[RUTA]],Tabla2[#All],3,0),"")</f>
        <v>LEYVA</v>
      </c>
      <c r="H212" s="49" t="str">
        <f>IFERROR(VLOOKUP(Tabla1[[#This Row],[RUTA]],Tabla2[[#All],[RUTA]:[PLACAS]],2,0),"")</f>
        <v>BSL-904</v>
      </c>
      <c r="I212" s="49" t="str">
        <f>IFERROR(VLOOKUP(Tabla1[[#This Row],[RUTA]],Tabla2[[#All],[RUTA]:[CONDUCTOR]],4,0),"")</f>
        <v>JUAN C,</v>
      </c>
      <c r="J212" s="49" t="str">
        <f>IFERROR(VLOOKUP(Tabla1[[#This Row],[RUTA]],Tabla2[#All],5,0),"")</f>
        <v>KEVIN</v>
      </c>
      <c r="K212" s="50" t="s">
        <v>16</v>
      </c>
      <c r="L212" s="52"/>
      <c r="M212" s="53"/>
      <c r="N212" s="54" t="str">
        <f>IF(Tabla1[[#This Row],[ESTADO]]="ENTREGADO",IF(Tabla1[[#This Row],[OBSERVACIÓN]]="OK","SI","NO"),"")</f>
        <v/>
      </c>
    </row>
    <row r="213" spans="1:14" x14ac:dyDescent="0.2">
      <c r="A213" s="48">
        <v>45162</v>
      </c>
      <c r="B213" s="49" t="s">
        <v>289</v>
      </c>
      <c r="C213" s="49">
        <v>21</v>
      </c>
      <c r="D213" s="49" t="s">
        <v>95</v>
      </c>
      <c r="E213" s="49" t="str">
        <f>VLOOKUP(Tabla1[[#This Row],[ID TIENDA]],Guias[],2,0)</f>
        <v>T994-00165165</v>
      </c>
      <c r="F213" s="51">
        <v>1884.83</v>
      </c>
      <c r="G213" s="49" t="str">
        <f>IFERROR(VLOOKUP(Tabla1[[#This Row],[RUTA]],Tabla2[#All],3,0),"")</f>
        <v>LEYVA</v>
      </c>
      <c r="H213" s="49" t="str">
        <f>IFERROR(VLOOKUP(Tabla1[[#This Row],[RUTA]],Tabla2[[#All],[RUTA]:[PLACAS]],2,0),"")</f>
        <v>BSL-904</v>
      </c>
      <c r="I213" s="49" t="str">
        <f>IFERROR(VLOOKUP(Tabla1[[#This Row],[RUTA]],Tabla2[[#All],[RUTA]:[CONDUCTOR]],4,0),"")</f>
        <v>JUAN C,</v>
      </c>
      <c r="J213" s="49" t="str">
        <f>IFERROR(VLOOKUP(Tabla1[[#This Row],[RUTA]],Tabla2[#All],5,0),"")</f>
        <v>KEVIN</v>
      </c>
      <c r="K213" s="50" t="s">
        <v>16</v>
      </c>
      <c r="L213" s="52"/>
      <c r="M213" s="53"/>
      <c r="N213" s="54" t="str">
        <f>IF(Tabla1[[#This Row],[ESTADO]]="ENTREGADO",IF(Tabla1[[#This Row],[OBSERVACIÓN]]="OK","SI","NO"),"")</f>
        <v/>
      </c>
    </row>
    <row r="214" spans="1:14" x14ac:dyDescent="0.2">
      <c r="A214" s="48">
        <v>45162</v>
      </c>
      <c r="B214" s="49" t="s">
        <v>290</v>
      </c>
      <c r="C214" s="49">
        <v>57</v>
      </c>
      <c r="D214" s="49" t="s">
        <v>95</v>
      </c>
      <c r="E214" s="49" t="str">
        <f>VLOOKUP(Tabla1[[#This Row],[ID TIENDA]],Guias[],2,0)</f>
        <v>T994-00165041</v>
      </c>
      <c r="F214" s="51">
        <v>1480</v>
      </c>
      <c r="G214" s="49" t="str">
        <f>IFERROR(VLOOKUP(Tabla1[[#This Row],[RUTA]],Tabla2[#All],3,0),"")</f>
        <v>LEYVA</v>
      </c>
      <c r="H214" s="49" t="str">
        <f>IFERROR(VLOOKUP(Tabla1[[#This Row],[RUTA]],Tabla2[[#All],[RUTA]:[PLACAS]],2,0),"")</f>
        <v>BSL-904</v>
      </c>
      <c r="I214" s="49" t="str">
        <f>IFERROR(VLOOKUP(Tabla1[[#This Row],[RUTA]],Tabla2[[#All],[RUTA]:[CONDUCTOR]],4,0),"")</f>
        <v>JUAN C,</v>
      </c>
      <c r="J214" s="49" t="str">
        <f>IFERROR(VLOOKUP(Tabla1[[#This Row],[RUTA]],Tabla2[#All],5,0),"")</f>
        <v>KEVIN</v>
      </c>
      <c r="K214" s="50" t="s">
        <v>16</v>
      </c>
      <c r="L214" s="52"/>
      <c r="M214" s="53"/>
      <c r="N214" s="54" t="str">
        <f>IF(Tabla1[[#This Row],[ESTADO]]="ENTREGADO",IF(Tabla1[[#This Row],[OBSERVACIÓN]]="OK","SI","NO"),"")</f>
        <v/>
      </c>
    </row>
  </sheetData>
  <conditionalFormatting sqref="K7:K214 K8:L214">
    <cfRule type="containsText" dxfId="11" priority="5" operator="containsText" text="EN RUTA">
      <formula>NOT(ISERROR(SEARCH("EN RUTA",K7)))</formula>
    </cfRule>
    <cfRule type="containsText" dxfId="10" priority="6" operator="containsText" text="ENTREGADO">
      <formula>NOT(ISERROR(SEARCH("ENTREGADO",K7)))</formula>
    </cfRule>
  </conditionalFormatting>
  <conditionalFormatting sqref="K1:L5">
    <cfRule type="containsText" dxfId="9" priority="406" operator="containsText" text="REZAGADO">
      <formula>NOT(ISERROR(SEARCH("REZAGADO",K1)))</formula>
    </cfRule>
    <cfRule type="containsText" dxfId="8" priority="407" operator="containsText" text="EN RUTA">
      <formula>NOT(ISERROR(SEARCH("EN RUTA",K1)))</formula>
    </cfRule>
    <cfRule type="containsText" dxfId="7" priority="409" operator="containsText" text="ENTREGADO">
      <formula>NOT(ISERROR(SEARCH("ENTREGADO",K1)))</formula>
    </cfRule>
  </conditionalFormatting>
  <conditionalFormatting sqref="K8:L214 K7:K214">
    <cfRule type="containsText" dxfId="6" priority="4" operator="containsText" text="REZAGADO">
      <formula>NOT(ISERROR(SEARCH("REZAGADO",K7)))</formula>
    </cfRule>
  </conditionalFormatting>
  <conditionalFormatting sqref="L7:L214">
    <cfRule type="containsText" dxfId="5" priority="1" operator="containsText" text="REZAGADO">
      <formula>NOT(ISERROR(SEARCH("REZAGADO",L7)))</formula>
    </cfRule>
    <cfRule type="containsText" dxfId="4" priority="2" operator="containsText" text="EN RUTA">
      <formula>NOT(ISERROR(SEARCH("EN RUTA",L7)))</formula>
    </cfRule>
    <cfRule type="containsText" dxfId="3" priority="3" operator="containsText" text="ENTREGADO">
      <formula>NOT(ISERROR(SEARCH("ENTREGADO",L7)))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5:O21"/>
  <sheetViews>
    <sheetView showGridLines="0" workbookViewId="0">
      <selection activeCell="D2" sqref="D2"/>
    </sheetView>
  </sheetViews>
  <sheetFormatPr baseColWidth="10" defaultColWidth="11.5703125" defaultRowHeight="14.25" x14ac:dyDescent="0.3"/>
  <cols>
    <col min="1" max="1" width="22.28515625" style="2" bestFit="1" customWidth="1"/>
    <col min="2" max="2" width="10.140625" style="2" bestFit="1" customWidth="1"/>
    <col min="3" max="4" width="11.5703125" style="2"/>
    <col min="5" max="5" width="22.28515625" style="2" bestFit="1" customWidth="1"/>
    <col min="6" max="6" width="9.7109375" style="2" bestFit="1" customWidth="1"/>
    <col min="7" max="8" width="11.5703125" style="2"/>
    <col min="9" max="9" width="22.28515625" style="2" bestFit="1" customWidth="1"/>
    <col min="10" max="10" width="9.7109375" style="2" bestFit="1" customWidth="1"/>
    <col min="11" max="12" width="11.5703125" style="2"/>
    <col min="13" max="13" width="22.28515625" style="2" bestFit="1" customWidth="1"/>
    <col min="14" max="14" width="9.7109375" style="2" bestFit="1" customWidth="1"/>
    <col min="15" max="16384" width="11.5703125" style="2"/>
  </cols>
  <sheetData>
    <row r="5" spans="1:14" x14ac:dyDescent="0.3">
      <c r="A5" s="2" t="s">
        <v>8</v>
      </c>
      <c r="B5" s="2" t="s">
        <v>11</v>
      </c>
      <c r="E5" s="2" t="s">
        <v>8</v>
      </c>
      <c r="F5" s="2" t="s">
        <v>12</v>
      </c>
      <c r="I5" s="2" t="s">
        <v>8</v>
      </c>
      <c r="J5" s="2" t="s">
        <v>14</v>
      </c>
      <c r="M5" s="2" t="s">
        <v>8</v>
      </c>
      <c r="N5" s="2" t="s">
        <v>13</v>
      </c>
    </row>
    <row r="6" spans="1:14" ht="15" thickBot="1" x14ac:dyDescent="0.35"/>
    <row r="7" spans="1:14" x14ac:dyDescent="0.3">
      <c r="A7" s="5" t="s">
        <v>22</v>
      </c>
      <c r="B7" s="7" t="s">
        <v>23</v>
      </c>
      <c r="E7" s="5" t="s">
        <v>22</v>
      </c>
      <c r="F7" s="7" t="s">
        <v>23</v>
      </c>
      <c r="I7" s="5" t="s">
        <v>22</v>
      </c>
      <c r="J7" s="7" t="s">
        <v>23</v>
      </c>
      <c r="M7" s="5" t="s">
        <v>22</v>
      </c>
      <c r="N7" s="7" t="s">
        <v>23</v>
      </c>
    </row>
    <row r="8" spans="1:14" x14ac:dyDescent="0.3">
      <c r="A8" s="6" t="s">
        <v>7</v>
      </c>
      <c r="B8" s="8">
        <f>COUNTIFS(Tabla1[ESTADO],kpi!A8,Tabla1[PROVEEDOR],kpi!$B$5)</f>
        <v>0</v>
      </c>
      <c r="E8" s="6" t="s">
        <v>7</v>
      </c>
      <c r="F8" s="8">
        <f>COUNTIFS(Tabla1[ESTADO],kpi!E8,Tabla1[PROVEEDOR],$F$5)</f>
        <v>0</v>
      </c>
      <c r="I8" s="6" t="s">
        <v>7</v>
      </c>
      <c r="J8" s="8">
        <f>COUNTIFS(Tabla1[ESTADO],kpi!I8,Tabla1[PROVEEDOR],$J$5)</f>
        <v>0</v>
      </c>
      <c r="M8" s="6" t="s">
        <v>7</v>
      </c>
      <c r="N8" s="8">
        <f>COUNTIFS(Tabla1[ESTADO],kpi!M8,Tabla1[PROVEEDOR],$N$5)</f>
        <v>0</v>
      </c>
    </row>
    <row r="9" spans="1:14" x14ac:dyDescent="0.3">
      <c r="A9" s="6" t="s">
        <v>16</v>
      </c>
      <c r="B9" s="8">
        <f>COUNTIFS(Tabla1[ESTADO],kpi!A9,Tabla1[PROVEEDOR],kpi!$B$5)</f>
        <v>125</v>
      </c>
      <c r="E9" s="6" t="s">
        <v>16</v>
      </c>
      <c r="F9" s="8">
        <f>COUNTIFS(Tabla1[ESTADO],kpi!E9,Tabla1[PROVEEDOR],$F$5)</f>
        <v>0</v>
      </c>
      <c r="I9" s="6" t="s">
        <v>16</v>
      </c>
      <c r="J9" s="8">
        <f>COUNTIFS(Tabla1[ESTADO],kpi!I9,Tabla1[PROVEEDOR],$J$5)</f>
        <v>14</v>
      </c>
      <c r="M9" s="6" t="s">
        <v>16</v>
      </c>
      <c r="N9" s="8">
        <f>COUNTIFS(Tabla1[ESTADO],kpi!M9,Tabla1[PROVEEDOR],$N$5)</f>
        <v>17</v>
      </c>
    </row>
    <row r="10" spans="1:14" ht="15" thickBot="1" x14ac:dyDescent="0.35">
      <c r="A10" s="6" t="s">
        <v>9</v>
      </c>
      <c r="B10" s="8">
        <f>COUNTIFS(Tabla1[ESTADO],kpi!A10,Tabla1[PROVEEDOR],kpi!$B$5)</f>
        <v>0</v>
      </c>
      <c r="E10" s="6" t="s">
        <v>9</v>
      </c>
      <c r="F10" s="8">
        <f>COUNTIFS(Tabla1[ESTADO],kpi!E10,Tabla1[PROVEEDOR],$F$5)</f>
        <v>0</v>
      </c>
      <c r="I10" s="6" t="s">
        <v>9</v>
      </c>
      <c r="J10" s="8">
        <f>COUNTIFS(Tabla1[ESTADO],kpi!I10,Tabla1[PROVEEDOR],$J$5)</f>
        <v>0</v>
      </c>
      <c r="M10" s="6" t="s">
        <v>9</v>
      </c>
      <c r="N10" s="8">
        <f>COUNTIFS(Tabla1[ESTADO],kpi!M10,Tabla1[PROVEEDOR],$N$5)</f>
        <v>0</v>
      </c>
    </row>
    <row r="11" spans="1:14" ht="15" thickBot="1" x14ac:dyDescent="0.35">
      <c r="A11" s="9" t="s">
        <v>18</v>
      </c>
      <c r="B11" s="10">
        <f>SUM(B8:B10)</f>
        <v>125</v>
      </c>
      <c r="E11" s="9" t="s">
        <v>18</v>
      </c>
      <c r="F11" s="10">
        <f>SUM(F8:F10)</f>
        <v>0</v>
      </c>
      <c r="I11" s="9" t="s">
        <v>18</v>
      </c>
      <c r="J11" s="10">
        <f>SUM(J8:J10)</f>
        <v>14</v>
      </c>
      <c r="M11" s="9" t="s">
        <v>18</v>
      </c>
      <c r="N11" s="10">
        <f>SUM(N8:N10)</f>
        <v>17</v>
      </c>
    </row>
    <row r="12" spans="1:14" ht="15" thickBot="1" x14ac:dyDescent="0.35"/>
    <row r="13" spans="1:14" x14ac:dyDescent="0.3">
      <c r="A13" s="5" t="s">
        <v>27</v>
      </c>
      <c r="B13" s="7" t="s">
        <v>23</v>
      </c>
      <c r="E13" s="5" t="s">
        <v>27</v>
      </c>
      <c r="F13" s="7" t="s">
        <v>23</v>
      </c>
      <c r="I13" s="5" t="s">
        <v>27</v>
      </c>
      <c r="J13" s="7" t="s">
        <v>23</v>
      </c>
      <c r="M13" s="5" t="s">
        <v>27</v>
      </c>
      <c r="N13" s="7" t="s">
        <v>23</v>
      </c>
    </row>
    <row r="14" spans="1:14" x14ac:dyDescent="0.3">
      <c r="A14" s="6" t="s">
        <v>17</v>
      </c>
      <c r="B14" s="11">
        <f>B8/B11</f>
        <v>0</v>
      </c>
      <c r="E14" s="6" t="s">
        <v>17</v>
      </c>
      <c r="F14" s="11" t="e">
        <f>F8/F11</f>
        <v>#DIV/0!</v>
      </c>
      <c r="I14" s="6" t="s">
        <v>17</v>
      </c>
      <c r="J14" s="11">
        <f>J8/J11</f>
        <v>0</v>
      </c>
      <c r="M14" s="6" t="s">
        <v>17</v>
      </c>
      <c r="N14" s="11">
        <f>N8/N11</f>
        <v>0</v>
      </c>
    </row>
    <row r="15" spans="1:14" x14ac:dyDescent="0.3">
      <c r="A15" s="6" t="s">
        <v>32</v>
      </c>
      <c r="B15" s="11">
        <f>B9/B11</f>
        <v>1</v>
      </c>
      <c r="E15" s="6" t="s">
        <v>32</v>
      </c>
      <c r="F15" s="11" t="e">
        <f>F9/F11</f>
        <v>#DIV/0!</v>
      </c>
      <c r="I15" s="6" t="s">
        <v>32</v>
      </c>
      <c r="J15" s="11">
        <f>J9/J11</f>
        <v>1</v>
      </c>
      <c r="M15" s="6" t="s">
        <v>32</v>
      </c>
      <c r="N15" s="11">
        <f>N9/N11</f>
        <v>1</v>
      </c>
    </row>
    <row r="16" spans="1:14" ht="15" thickBot="1" x14ac:dyDescent="0.35">
      <c r="A16" s="12" t="s">
        <v>20</v>
      </c>
      <c r="B16" s="13">
        <f>B10/B11</f>
        <v>0</v>
      </c>
      <c r="E16" s="12" t="s">
        <v>20</v>
      </c>
      <c r="F16" s="13" t="e">
        <f>F10/F11</f>
        <v>#DIV/0!</v>
      </c>
      <c r="I16" s="12" t="s">
        <v>20</v>
      </c>
      <c r="J16" s="13">
        <f>J10/J11</f>
        <v>0</v>
      </c>
      <c r="M16" s="12" t="s">
        <v>20</v>
      </c>
      <c r="N16" s="13">
        <f>N10/N11</f>
        <v>0</v>
      </c>
    </row>
    <row r="17" spans="1:15" ht="15" thickBot="1" x14ac:dyDescent="0.35"/>
    <row r="18" spans="1:15" x14ac:dyDescent="0.3">
      <c r="A18" s="16" t="s">
        <v>27</v>
      </c>
      <c r="B18" s="20" t="s">
        <v>23</v>
      </c>
      <c r="C18" s="21" t="s">
        <v>28</v>
      </c>
      <c r="E18" s="16" t="s">
        <v>27</v>
      </c>
      <c r="F18" s="20" t="s">
        <v>23</v>
      </c>
      <c r="G18" s="21" t="s">
        <v>28</v>
      </c>
      <c r="I18" s="16" t="s">
        <v>27</v>
      </c>
      <c r="J18" s="20" t="s">
        <v>23</v>
      </c>
      <c r="K18" s="21" t="s">
        <v>28</v>
      </c>
      <c r="M18" s="16" t="s">
        <v>27</v>
      </c>
      <c r="N18" s="20" t="s">
        <v>23</v>
      </c>
      <c r="O18" s="21" t="s">
        <v>28</v>
      </c>
    </row>
    <row r="19" spans="1:15" ht="15" thickBot="1" x14ac:dyDescent="0.35">
      <c r="A19" s="17" t="s">
        <v>26</v>
      </c>
      <c r="B19" s="18">
        <f>COUNTIFS(Tabla1[ENTREGAS CONFORME],"SI",Tabla1[PROVEEDOR],kpi!$B$5)</f>
        <v>0</v>
      </c>
      <c r="C19" s="19">
        <f>B19/B11</f>
        <v>0</v>
      </c>
      <c r="E19" s="17" t="s">
        <v>26</v>
      </c>
      <c r="F19" s="18">
        <f>COUNTIFS(Tabla1[ENTREGAS CONFORME],"SI",Tabla1[PROVEEDOR],kpi!$F$5)</f>
        <v>0</v>
      </c>
      <c r="G19" s="19" t="e">
        <f>F19/F11</f>
        <v>#DIV/0!</v>
      </c>
      <c r="I19" s="17" t="s">
        <v>26</v>
      </c>
      <c r="J19" s="18">
        <f>COUNTIFS(Tabla1[ENTREGAS CONFORME],"SI",Tabla1[PROVEEDOR],kpi!$J$5)</f>
        <v>0</v>
      </c>
      <c r="K19" s="19">
        <f>J19/J11</f>
        <v>0</v>
      </c>
      <c r="M19" s="17" t="s">
        <v>26</v>
      </c>
      <c r="N19" s="18">
        <f>COUNTIFS(Tabla1[ENTREGAS CONFORME],"SI",Tabla1[PROVEEDOR],kpi!$N$5)</f>
        <v>0</v>
      </c>
      <c r="O19" s="19">
        <f>N19/N11</f>
        <v>0</v>
      </c>
    </row>
    <row r="21" spans="1:15" x14ac:dyDescent="0.3">
      <c r="A21" s="2" t="s">
        <v>19</v>
      </c>
      <c r="B21" s="3">
        <f>B11-B8</f>
        <v>125</v>
      </c>
      <c r="E21" s="2" t="s">
        <v>19</v>
      </c>
      <c r="F21" s="3">
        <f>F11-F8</f>
        <v>0</v>
      </c>
      <c r="I21" s="2" t="s">
        <v>19</v>
      </c>
      <c r="J21" s="3">
        <f>J11-J8</f>
        <v>14</v>
      </c>
      <c r="M21" s="2" t="s">
        <v>19</v>
      </c>
      <c r="N21" s="3">
        <f>N11-N8</f>
        <v>17</v>
      </c>
    </row>
  </sheetData>
  <conditionalFormatting sqref="B14">
    <cfRule type="dataBar" priority="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{38C9BA48-8458-4380-9375-9C20D94DDF33}</x14:id>
        </ext>
      </extLst>
    </cfRule>
  </conditionalFormatting>
  <conditionalFormatting sqref="F14">
    <cfRule type="dataBar" priority="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{0DC9C92C-88A7-48DB-BB8F-075D9BCF9F95}</x14:id>
        </ext>
      </extLst>
    </cfRule>
  </conditionalFormatting>
  <conditionalFormatting sqref="J14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{8938D8ED-A87A-49A9-9E26-F46333F2B5A8}</x14:id>
        </ext>
      </extLst>
    </cfRule>
  </conditionalFormatting>
  <conditionalFormatting sqref="N14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{24B75D88-15FC-4284-9C82-3181AE9698B9}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C9BA48-8458-4380-9375-9C20D94DDF3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0DC9C92C-88A7-48DB-BB8F-075D9BCF9F95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F14</xm:sqref>
        </x14:conditionalFormatting>
        <x14:conditionalFormatting xmlns:xm="http://schemas.microsoft.com/office/excel/2006/main">
          <x14:cfRule type="dataBar" id="{8938D8ED-A87A-49A9-9E26-F46333F2B5A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J14</xm:sqref>
        </x14:conditionalFormatting>
        <x14:conditionalFormatting xmlns:xm="http://schemas.microsoft.com/office/excel/2006/main">
          <x14:cfRule type="dataBar" id="{24B75D88-15FC-4284-9C82-3181AE9698B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N14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100-000000000000}">
          <x14:formula1>
            <xm:f>Tablas!$A$3:$A$6</xm:f>
          </x14:formula1>
          <xm:sqref>B5 F5 N5 J5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5"/>
  <sheetViews>
    <sheetView workbookViewId="0">
      <selection activeCell="M2" sqref="M2"/>
    </sheetView>
  </sheetViews>
  <sheetFormatPr baseColWidth="10" defaultRowHeight="15" x14ac:dyDescent="0.25"/>
  <cols>
    <col min="2" max="2" width="21.140625" bestFit="1" customWidth="1"/>
    <col min="3" max="4" width="12.85546875" customWidth="1"/>
    <col min="5" max="5" width="15" style="41" customWidth="1"/>
    <col min="11" max="11" width="32.42578125" bestFit="1" customWidth="1"/>
    <col min="13" max="13" width="11.5703125" style="43"/>
  </cols>
  <sheetData>
    <row r="1" spans="1:16" x14ac:dyDescent="0.25">
      <c r="A1" s="4" t="s">
        <v>1</v>
      </c>
      <c r="B1" s="14" t="s">
        <v>0</v>
      </c>
      <c r="C1" s="14" t="s">
        <v>8</v>
      </c>
      <c r="D1" s="38" t="s">
        <v>36</v>
      </c>
      <c r="E1" s="38" t="s">
        <v>6</v>
      </c>
      <c r="F1" s="40" t="s">
        <v>37</v>
      </c>
      <c r="G1" s="40" t="s">
        <v>38</v>
      </c>
      <c r="H1" s="40" t="s">
        <v>39</v>
      </c>
      <c r="I1" s="40" t="s">
        <v>43</v>
      </c>
      <c r="J1" s="40" t="s">
        <v>44</v>
      </c>
      <c r="K1" s="40" t="s">
        <v>40</v>
      </c>
      <c r="L1" s="40" t="s">
        <v>41</v>
      </c>
      <c r="M1" s="42" t="s">
        <v>42</v>
      </c>
    </row>
    <row r="2" spans="1:16" ht="15.75" x14ac:dyDescent="0.3">
      <c r="A2" s="36"/>
      <c r="B2" s="1"/>
      <c r="C2" s="1"/>
      <c r="D2" s="39"/>
      <c r="E2" s="37"/>
    </row>
    <row r="3" spans="1:16" ht="15.75" x14ac:dyDescent="0.3">
      <c r="A3" s="36"/>
      <c r="B3" s="1"/>
      <c r="C3" s="1"/>
      <c r="D3" s="39"/>
      <c r="E3" s="37"/>
    </row>
    <row r="4" spans="1:16" ht="15.75" x14ac:dyDescent="0.3">
      <c r="A4" s="36"/>
      <c r="B4" s="1"/>
      <c r="C4" s="1"/>
      <c r="D4" s="39"/>
      <c r="E4" s="37"/>
    </row>
    <row r="5" spans="1:16" ht="15.75" x14ac:dyDescent="0.3">
      <c r="A5" s="36"/>
      <c r="B5" s="1"/>
      <c r="C5" s="1"/>
      <c r="D5" s="39"/>
      <c r="E5" s="37"/>
    </row>
    <row r="6" spans="1:16" ht="15.75" x14ac:dyDescent="0.3">
      <c r="A6" s="36"/>
      <c r="B6" s="1"/>
      <c r="C6" s="1"/>
      <c r="D6" s="39"/>
      <c r="E6" s="37"/>
    </row>
    <row r="7" spans="1:16" ht="15.75" x14ac:dyDescent="0.3">
      <c r="A7" s="36"/>
      <c r="B7" s="32"/>
      <c r="C7" s="1"/>
      <c r="D7" s="39"/>
      <c r="E7" s="37"/>
    </row>
    <row r="8" spans="1:16" ht="15.75" x14ac:dyDescent="0.3">
      <c r="A8" s="36"/>
      <c r="B8" s="32"/>
      <c r="C8" s="1"/>
      <c r="D8" s="39"/>
      <c r="E8" s="37"/>
    </row>
    <row r="9" spans="1:16" ht="15.75" x14ac:dyDescent="0.3">
      <c r="A9" s="36"/>
      <c r="B9" s="32"/>
      <c r="C9" s="1"/>
      <c r="D9" s="39"/>
      <c r="E9" s="37"/>
    </row>
    <row r="10" spans="1:16" ht="15.75" x14ac:dyDescent="0.3">
      <c r="A10" s="36"/>
      <c r="B10" s="32"/>
      <c r="C10" s="1"/>
      <c r="D10" s="39"/>
      <c r="E10" s="37"/>
    </row>
    <row r="11" spans="1:16" ht="15.75" x14ac:dyDescent="0.3">
      <c r="A11" s="36"/>
      <c r="B11" s="32"/>
      <c r="C11" s="1"/>
      <c r="D11" s="39"/>
      <c r="E11" s="37"/>
      <c r="P11" s="56"/>
    </row>
    <row r="12" spans="1:16" ht="15.75" x14ac:dyDescent="0.3">
      <c r="A12" s="36"/>
      <c r="B12" s="32"/>
      <c r="C12" s="1"/>
      <c r="D12" s="39"/>
      <c r="E12" s="37"/>
    </row>
    <row r="13" spans="1:16" ht="15.75" x14ac:dyDescent="0.3">
      <c r="A13" s="36"/>
      <c r="B13" s="32"/>
      <c r="C13" s="1"/>
      <c r="D13" s="39"/>
      <c r="E13" s="37"/>
    </row>
    <row r="14" spans="1:16" ht="15.75" x14ac:dyDescent="0.3">
      <c r="A14" s="36"/>
      <c r="B14" s="32"/>
      <c r="C14" s="1"/>
      <c r="D14" s="39"/>
      <c r="E14" s="37"/>
    </row>
    <row r="15" spans="1:16" ht="15.75" x14ac:dyDescent="0.3">
      <c r="A15" s="36"/>
      <c r="B15" s="32"/>
      <c r="C15" s="1"/>
      <c r="D15" s="39"/>
      <c r="E15" s="37"/>
    </row>
    <row r="16" spans="1:16" ht="15.75" x14ac:dyDescent="0.3">
      <c r="A16" s="36"/>
      <c r="B16" s="32"/>
      <c r="C16" s="1"/>
      <c r="D16" s="39"/>
      <c r="E16" s="37"/>
    </row>
    <row r="17" spans="1:5" ht="15.75" x14ac:dyDescent="0.3">
      <c r="A17" s="36"/>
      <c r="B17" s="32"/>
      <c r="C17" s="1"/>
      <c r="D17" s="39"/>
      <c r="E17" s="37"/>
    </row>
    <row r="18" spans="1:5" ht="15.75" x14ac:dyDescent="0.3">
      <c r="A18" s="36"/>
      <c r="B18" s="32"/>
      <c r="C18" s="1"/>
      <c r="D18" s="39"/>
      <c r="E18" s="37"/>
    </row>
    <row r="19" spans="1:5" ht="15.75" x14ac:dyDescent="0.3">
      <c r="A19" s="36"/>
      <c r="B19" s="32"/>
      <c r="C19" s="1"/>
      <c r="D19" s="39"/>
      <c r="E19" s="37"/>
    </row>
    <row r="20" spans="1:5" ht="15.75" x14ac:dyDescent="0.3">
      <c r="A20" s="36"/>
      <c r="B20" s="32"/>
      <c r="C20" s="1"/>
      <c r="D20" s="39"/>
      <c r="E20" s="37"/>
    </row>
    <row r="21" spans="1:5" ht="15.75" x14ac:dyDescent="0.3">
      <c r="A21" s="36"/>
      <c r="B21" s="32"/>
      <c r="C21" s="1"/>
      <c r="D21" s="39"/>
      <c r="E21" s="37"/>
    </row>
    <row r="22" spans="1:5" ht="15.75" x14ac:dyDescent="0.3">
      <c r="A22" s="36"/>
      <c r="B22" s="32"/>
      <c r="C22" s="1"/>
      <c r="D22" s="39"/>
      <c r="E22" s="37"/>
    </row>
    <row r="23" spans="1:5" ht="15.75" x14ac:dyDescent="0.3">
      <c r="A23" s="36"/>
      <c r="B23" s="32"/>
      <c r="C23" s="1"/>
      <c r="D23" s="39"/>
      <c r="E23" s="37"/>
    </row>
    <row r="24" spans="1:5" ht="15.75" x14ac:dyDescent="0.3">
      <c r="A24" s="36"/>
      <c r="B24" s="32"/>
      <c r="C24" s="1"/>
      <c r="D24" s="39"/>
      <c r="E24" s="37"/>
    </row>
    <row r="25" spans="1:5" ht="15.75" x14ac:dyDescent="0.3">
      <c r="A25" s="36"/>
      <c r="B25" s="32"/>
      <c r="C25" s="1"/>
      <c r="D25" s="39"/>
      <c r="E25" s="37"/>
    </row>
    <row r="26" spans="1:5" ht="15.75" x14ac:dyDescent="0.3">
      <c r="A26" s="36"/>
      <c r="B26" s="32"/>
      <c r="C26" s="1"/>
      <c r="D26" s="39"/>
      <c r="E26" s="37"/>
    </row>
    <row r="27" spans="1:5" ht="15.75" x14ac:dyDescent="0.3">
      <c r="A27" s="36"/>
      <c r="B27" s="32"/>
      <c r="C27" s="1"/>
      <c r="D27" s="39"/>
      <c r="E27" s="37"/>
    </row>
    <row r="28" spans="1:5" ht="15.75" x14ac:dyDescent="0.3">
      <c r="A28" s="36"/>
      <c r="B28" s="32"/>
      <c r="C28" s="1"/>
      <c r="D28" s="39"/>
      <c r="E28" s="37"/>
    </row>
    <row r="29" spans="1:5" ht="15.75" x14ac:dyDescent="0.3">
      <c r="A29" s="36"/>
      <c r="B29" s="32"/>
      <c r="C29" s="1"/>
      <c r="D29" s="39"/>
      <c r="E29" s="37"/>
    </row>
    <row r="30" spans="1:5" ht="15.75" x14ac:dyDescent="0.3">
      <c r="A30" s="36"/>
      <c r="B30" s="32"/>
      <c r="C30" s="1"/>
      <c r="D30" s="39"/>
      <c r="E30" s="37"/>
    </row>
    <row r="31" spans="1:5" ht="15.75" x14ac:dyDescent="0.3">
      <c r="A31" s="36"/>
      <c r="B31" s="32"/>
      <c r="C31" s="1"/>
      <c r="D31" s="39"/>
      <c r="E31" s="37"/>
    </row>
    <row r="32" spans="1:5" ht="15.75" x14ac:dyDescent="0.3">
      <c r="A32" s="36"/>
      <c r="B32" s="32"/>
      <c r="C32" s="1"/>
      <c r="D32" s="39"/>
      <c r="E32" s="37"/>
    </row>
    <row r="33" spans="1:5" ht="15.75" x14ac:dyDescent="0.3">
      <c r="A33" s="36"/>
      <c r="B33" s="32"/>
      <c r="C33" s="1"/>
      <c r="D33" s="39"/>
      <c r="E33" s="37"/>
    </row>
    <row r="34" spans="1:5" ht="15.75" x14ac:dyDescent="0.3">
      <c r="A34" s="36"/>
      <c r="B34" s="32"/>
      <c r="C34" s="1"/>
      <c r="D34" s="39"/>
      <c r="E34" s="37"/>
    </row>
    <row r="35" spans="1:5" ht="15.75" x14ac:dyDescent="0.3">
      <c r="A35" s="36"/>
      <c r="B35" s="32"/>
      <c r="C35" s="1"/>
      <c r="D35" s="39"/>
      <c r="E35" s="37"/>
    </row>
    <row r="36" spans="1:5" ht="15.75" x14ac:dyDescent="0.3">
      <c r="A36" s="36"/>
      <c r="B36" s="32"/>
      <c r="C36" s="1"/>
      <c r="D36" s="39"/>
      <c r="E36" s="37"/>
    </row>
    <row r="37" spans="1:5" ht="15.75" x14ac:dyDescent="0.3">
      <c r="A37" s="36"/>
      <c r="B37" s="32"/>
      <c r="C37" s="1"/>
      <c r="D37" s="39"/>
      <c r="E37" s="37"/>
    </row>
    <row r="38" spans="1:5" ht="15.75" x14ac:dyDescent="0.3">
      <c r="A38" s="36"/>
      <c r="B38" s="32"/>
      <c r="C38" s="1"/>
      <c r="D38" s="39"/>
      <c r="E38" s="37"/>
    </row>
    <row r="39" spans="1:5" ht="15.75" x14ac:dyDescent="0.3">
      <c r="A39" s="36"/>
      <c r="B39" s="32"/>
      <c r="C39" s="1"/>
      <c r="D39" s="39"/>
      <c r="E39" s="37"/>
    </row>
    <row r="40" spans="1:5" ht="15.75" x14ac:dyDescent="0.3">
      <c r="A40" s="36"/>
      <c r="B40" s="32"/>
      <c r="C40" s="1"/>
      <c r="D40" s="39"/>
      <c r="E40" s="37"/>
    </row>
    <row r="41" spans="1:5" ht="15.75" x14ac:dyDescent="0.3">
      <c r="A41" s="36"/>
      <c r="B41" s="32"/>
      <c r="C41" s="1"/>
      <c r="D41" s="39"/>
      <c r="E41" s="37"/>
    </row>
    <row r="42" spans="1:5" ht="15.75" x14ac:dyDescent="0.3">
      <c r="A42" s="36"/>
      <c r="B42" s="32"/>
      <c r="C42" s="1"/>
      <c r="D42" s="39"/>
      <c r="E42" s="37"/>
    </row>
    <row r="43" spans="1:5" ht="15.75" x14ac:dyDescent="0.3">
      <c r="A43" s="36"/>
      <c r="B43" s="32"/>
      <c r="C43" s="1"/>
      <c r="D43" s="39"/>
      <c r="E43" s="37"/>
    </row>
    <row r="44" spans="1:5" ht="15.75" x14ac:dyDescent="0.3">
      <c r="A44" s="36"/>
      <c r="B44" s="32"/>
      <c r="C44" s="1"/>
      <c r="D44" s="39"/>
      <c r="E44" s="37"/>
    </row>
    <row r="45" spans="1:5" ht="15.75" x14ac:dyDescent="0.3">
      <c r="A45" s="36"/>
      <c r="B45" s="32"/>
      <c r="C45" s="1"/>
      <c r="D45" s="39"/>
      <c r="E45" s="37"/>
    </row>
    <row r="46" spans="1:5" ht="15.75" x14ac:dyDescent="0.3">
      <c r="A46" s="36"/>
      <c r="B46" s="32"/>
      <c r="C46" s="1"/>
      <c r="D46" s="39"/>
      <c r="E46" s="37"/>
    </row>
    <row r="47" spans="1:5" ht="15.75" x14ac:dyDescent="0.3">
      <c r="A47" s="36"/>
      <c r="B47" s="32"/>
      <c r="C47" s="1"/>
      <c r="D47" s="39"/>
      <c r="E47" s="37"/>
    </row>
    <row r="48" spans="1:5" ht="15.75" x14ac:dyDescent="0.3">
      <c r="A48" s="36"/>
      <c r="B48" s="32"/>
      <c r="C48" s="1"/>
      <c r="D48" s="39"/>
      <c r="E48" s="37"/>
    </row>
    <row r="49" spans="1:5" ht="15.75" x14ac:dyDescent="0.3">
      <c r="A49" s="36"/>
      <c r="B49" s="32"/>
      <c r="C49" s="1"/>
      <c r="D49" s="39"/>
      <c r="E49" s="37"/>
    </row>
    <row r="50" spans="1:5" ht="15.75" x14ac:dyDescent="0.3">
      <c r="A50" s="36"/>
      <c r="B50" s="32"/>
      <c r="C50" s="1"/>
      <c r="D50" s="39"/>
      <c r="E50" s="37"/>
    </row>
    <row r="51" spans="1:5" ht="15.75" x14ac:dyDescent="0.3">
      <c r="A51" s="36"/>
      <c r="B51" s="32"/>
      <c r="C51" s="1"/>
      <c r="D51" s="39"/>
      <c r="E51" s="37"/>
    </row>
    <row r="52" spans="1:5" ht="15.75" x14ac:dyDescent="0.3">
      <c r="A52" s="36"/>
      <c r="B52" s="32"/>
      <c r="C52" s="1"/>
      <c r="D52" s="39"/>
      <c r="E52" s="37"/>
    </row>
    <row r="53" spans="1:5" ht="15.75" x14ac:dyDescent="0.3">
      <c r="A53" s="36"/>
      <c r="B53" s="32"/>
      <c r="C53" s="1"/>
      <c r="D53" s="39"/>
      <c r="E53" s="37"/>
    </row>
    <row r="54" spans="1:5" ht="15.75" x14ac:dyDescent="0.3">
      <c r="A54" s="36"/>
      <c r="B54" s="32"/>
      <c r="C54" s="1"/>
      <c r="D54" s="39"/>
      <c r="E54" s="37"/>
    </row>
    <row r="55" spans="1:5" ht="15.75" x14ac:dyDescent="0.3">
      <c r="A55" s="36"/>
      <c r="B55" s="32"/>
      <c r="C55" s="1"/>
      <c r="D55" s="39"/>
      <c r="E55" s="37"/>
    </row>
    <row r="56" spans="1:5" ht="15.75" x14ac:dyDescent="0.3">
      <c r="A56" s="36"/>
      <c r="B56" s="32"/>
      <c r="C56" s="1"/>
      <c r="D56" s="39"/>
      <c r="E56" s="37"/>
    </row>
    <row r="57" spans="1:5" ht="15.75" x14ac:dyDescent="0.3">
      <c r="A57" s="36"/>
      <c r="B57" s="32"/>
      <c r="C57" s="1"/>
      <c r="D57" s="39"/>
      <c r="E57" s="37"/>
    </row>
    <row r="58" spans="1:5" ht="15.75" x14ac:dyDescent="0.3">
      <c r="A58" s="36"/>
      <c r="B58" s="32"/>
      <c r="C58" s="1"/>
      <c r="D58" s="39"/>
      <c r="E58" s="37"/>
    </row>
    <row r="59" spans="1:5" ht="15.75" x14ac:dyDescent="0.3">
      <c r="A59" s="36"/>
      <c r="B59" s="32"/>
      <c r="C59" s="1"/>
      <c r="D59" s="39"/>
      <c r="E59" s="37"/>
    </row>
    <row r="60" spans="1:5" ht="15.75" x14ac:dyDescent="0.3">
      <c r="A60" s="36"/>
      <c r="B60" s="32"/>
      <c r="C60" s="1"/>
      <c r="D60" s="39"/>
      <c r="E60" s="37"/>
    </row>
    <row r="61" spans="1:5" ht="15.75" x14ac:dyDescent="0.3">
      <c r="A61" s="36"/>
      <c r="B61" s="32"/>
      <c r="C61" s="1"/>
      <c r="D61" s="39"/>
      <c r="E61" s="37"/>
    </row>
    <row r="62" spans="1:5" ht="15.75" x14ac:dyDescent="0.3">
      <c r="A62" s="36"/>
      <c r="B62" s="32"/>
      <c r="C62" s="1"/>
      <c r="D62" s="39"/>
      <c r="E62" s="37"/>
    </row>
    <row r="63" spans="1:5" ht="15.75" x14ac:dyDescent="0.3">
      <c r="A63" s="36"/>
      <c r="B63" s="32"/>
      <c r="C63" s="1"/>
      <c r="D63" s="39"/>
      <c r="E63" s="37"/>
    </row>
    <row r="64" spans="1:5" ht="15.75" x14ac:dyDescent="0.3">
      <c r="A64" s="36"/>
      <c r="B64" s="32"/>
      <c r="C64" s="1"/>
      <c r="D64" s="39"/>
      <c r="E64" s="37"/>
    </row>
    <row r="65" spans="1:5" ht="15.75" x14ac:dyDescent="0.3">
      <c r="A65" s="36"/>
      <c r="B65" s="32"/>
      <c r="C65" s="1"/>
      <c r="D65" s="39"/>
      <c r="E65" s="37"/>
    </row>
    <row r="66" spans="1:5" ht="15.75" x14ac:dyDescent="0.3">
      <c r="A66" s="36"/>
      <c r="B66" s="32"/>
      <c r="C66" s="1"/>
      <c r="D66" s="39"/>
      <c r="E66" s="37"/>
    </row>
    <row r="67" spans="1:5" ht="15.75" x14ac:dyDescent="0.3">
      <c r="A67" s="36"/>
      <c r="B67" s="32"/>
      <c r="C67" s="1"/>
      <c r="D67" s="39"/>
      <c r="E67" s="37"/>
    </row>
    <row r="68" spans="1:5" ht="15.75" x14ac:dyDescent="0.3">
      <c r="A68" s="36"/>
      <c r="B68" s="32"/>
      <c r="C68" s="1"/>
      <c r="D68" s="39"/>
      <c r="E68" s="37"/>
    </row>
    <row r="69" spans="1:5" ht="15.75" x14ac:dyDescent="0.3">
      <c r="A69" s="36"/>
      <c r="B69" s="32"/>
      <c r="C69" s="1"/>
      <c r="D69" s="39"/>
      <c r="E69" s="37"/>
    </row>
    <row r="70" spans="1:5" ht="15.75" x14ac:dyDescent="0.3">
      <c r="A70" s="36"/>
      <c r="B70" s="32"/>
      <c r="C70" s="1"/>
      <c r="D70" s="39"/>
      <c r="E70" s="37"/>
    </row>
    <row r="71" spans="1:5" ht="15.75" x14ac:dyDescent="0.3">
      <c r="A71" s="36"/>
      <c r="B71" s="32"/>
      <c r="C71" s="1"/>
      <c r="D71" s="39"/>
      <c r="E71" s="37"/>
    </row>
    <row r="72" spans="1:5" ht="15.75" x14ac:dyDescent="0.3">
      <c r="A72" s="36"/>
      <c r="B72" s="32"/>
      <c r="C72" s="1"/>
      <c r="D72" s="39"/>
      <c r="E72" s="37"/>
    </row>
    <row r="73" spans="1:5" ht="15.75" x14ac:dyDescent="0.3">
      <c r="A73" s="36"/>
      <c r="B73" s="32"/>
      <c r="C73" s="1"/>
      <c r="D73" s="39"/>
      <c r="E73" s="37"/>
    </row>
    <row r="74" spans="1:5" ht="15.75" x14ac:dyDescent="0.3">
      <c r="A74" s="36"/>
      <c r="B74" s="32"/>
      <c r="C74" s="1"/>
      <c r="D74" s="39"/>
      <c r="E74" s="37"/>
    </row>
    <row r="75" spans="1:5" ht="15.75" x14ac:dyDescent="0.3">
      <c r="A75" s="36"/>
      <c r="B75" s="32"/>
      <c r="C75" s="1"/>
      <c r="D75" s="39"/>
      <c r="E75" s="37"/>
    </row>
    <row r="76" spans="1:5" ht="15.75" x14ac:dyDescent="0.3">
      <c r="A76" s="36"/>
      <c r="B76" s="32"/>
      <c r="C76" s="1"/>
      <c r="D76" s="39"/>
      <c r="E76" s="37"/>
    </row>
    <row r="77" spans="1:5" ht="15.75" x14ac:dyDescent="0.3">
      <c r="A77" s="36"/>
      <c r="B77" s="32"/>
      <c r="C77" s="1"/>
      <c r="D77" s="39"/>
      <c r="E77" s="37"/>
    </row>
    <row r="78" spans="1:5" ht="15.75" x14ac:dyDescent="0.3">
      <c r="A78" s="36"/>
      <c r="B78" s="32"/>
      <c r="C78" s="1"/>
      <c r="D78" s="39"/>
      <c r="E78" s="37"/>
    </row>
    <row r="79" spans="1:5" ht="15.75" x14ac:dyDescent="0.3">
      <c r="A79" s="36"/>
      <c r="B79" s="32"/>
      <c r="C79" s="1"/>
      <c r="D79" s="39"/>
      <c r="E79" s="37"/>
    </row>
    <row r="80" spans="1:5" ht="15.75" x14ac:dyDescent="0.3">
      <c r="A80" s="36"/>
      <c r="B80" s="32"/>
      <c r="C80" s="1"/>
      <c r="D80" s="39"/>
      <c r="E80" s="37"/>
    </row>
    <row r="81" spans="1:5" ht="15.75" x14ac:dyDescent="0.3">
      <c r="A81" s="36"/>
      <c r="B81" s="32"/>
      <c r="C81" s="1"/>
      <c r="D81" s="39"/>
      <c r="E81" s="37"/>
    </row>
    <row r="82" spans="1:5" ht="15.75" x14ac:dyDescent="0.3">
      <c r="A82" s="36"/>
      <c r="B82" s="32"/>
      <c r="C82" s="1"/>
      <c r="D82" s="39"/>
      <c r="E82" s="37"/>
    </row>
    <row r="83" spans="1:5" ht="15.75" x14ac:dyDescent="0.3">
      <c r="A83" s="36"/>
      <c r="B83" s="32"/>
      <c r="C83" s="1"/>
      <c r="D83" s="39"/>
      <c r="E83" s="37"/>
    </row>
    <row r="84" spans="1:5" ht="15.75" x14ac:dyDescent="0.3">
      <c r="A84" s="36"/>
      <c r="B84" s="32"/>
      <c r="C84" s="1"/>
      <c r="D84" s="39"/>
      <c r="E84" s="37"/>
    </row>
    <row r="85" spans="1:5" ht="15.75" x14ac:dyDescent="0.3">
      <c r="A85" s="36"/>
      <c r="B85" s="32"/>
      <c r="C85" s="1"/>
      <c r="D85" s="39"/>
      <c r="E85" s="37"/>
    </row>
  </sheetData>
  <conditionalFormatting sqref="H1:J1048576">
    <cfRule type="containsText" dxfId="2" priority="1" operator="containsText" text="SOBRANTE">
      <formula>NOT(ISERROR(SEARCH("SOBRANTE",H1)))</formula>
    </cfRule>
    <cfRule type="containsText" dxfId="1" priority="2" operator="containsText" text="FALTANTE">
      <formula>NOT(ISERROR(SEARCH("FALTANTE",H1)))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2:E210"/>
  <sheetViews>
    <sheetView workbookViewId="0"/>
  </sheetViews>
  <sheetFormatPr baseColWidth="10" defaultRowHeight="15" x14ac:dyDescent="0.25"/>
  <cols>
    <col min="1" max="1" width="13.28515625" customWidth="1"/>
  </cols>
  <sheetData>
    <row r="2" spans="1:5" x14ac:dyDescent="0.25">
      <c r="A2" t="s">
        <v>8</v>
      </c>
      <c r="D2" s="22" t="s">
        <v>29</v>
      </c>
      <c r="E2" s="23" t="s">
        <v>30</v>
      </c>
    </row>
    <row r="3" spans="1:5" x14ac:dyDescent="0.25">
      <c r="A3" t="s">
        <v>11</v>
      </c>
      <c r="D3" s="34">
        <v>53</v>
      </c>
      <c r="E3" s="63" t="s">
        <v>302</v>
      </c>
    </row>
    <row r="4" spans="1:5" x14ac:dyDescent="0.25">
      <c r="A4" t="s">
        <v>13</v>
      </c>
      <c r="D4" s="35">
        <v>393</v>
      </c>
      <c r="E4" s="62" t="s">
        <v>303</v>
      </c>
    </row>
    <row r="5" spans="1:5" x14ac:dyDescent="0.25">
      <c r="A5" t="s">
        <v>14</v>
      </c>
      <c r="D5" s="34">
        <v>366</v>
      </c>
      <c r="E5" s="63" t="s">
        <v>304</v>
      </c>
    </row>
    <row r="6" spans="1:5" x14ac:dyDescent="0.25">
      <c r="A6" t="s">
        <v>12</v>
      </c>
      <c r="D6" s="35">
        <v>238</v>
      </c>
      <c r="E6" s="62" t="s">
        <v>305</v>
      </c>
    </row>
    <row r="7" spans="1:5" x14ac:dyDescent="0.25">
      <c r="A7" t="s">
        <v>33</v>
      </c>
      <c r="D7" s="34">
        <v>361</v>
      </c>
      <c r="E7" s="63" t="s">
        <v>306</v>
      </c>
    </row>
    <row r="8" spans="1:5" x14ac:dyDescent="0.25">
      <c r="A8" t="s">
        <v>35</v>
      </c>
      <c r="D8" s="35">
        <v>236</v>
      </c>
      <c r="E8" s="62" t="s">
        <v>307</v>
      </c>
    </row>
    <row r="9" spans="1:5" x14ac:dyDescent="0.25">
      <c r="D9" s="65">
        <v>195</v>
      </c>
      <c r="E9" s="66" t="s">
        <v>308</v>
      </c>
    </row>
    <row r="10" spans="1:5" x14ac:dyDescent="0.25">
      <c r="D10" s="65">
        <v>375</v>
      </c>
      <c r="E10" s="66" t="s">
        <v>309</v>
      </c>
    </row>
    <row r="11" spans="1:5" x14ac:dyDescent="0.25">
      <c r="D11" s="65">
        <v>241</v>
      </c>
      <c r="E11" s="66" t="s">
        <v>310</v>
      </c>
    </row>
    <row r="12" spans="1:5" x14ac:dyDescent="0.25">
      <c r="D12" s="65">
        <v>340</v>
      </c>
      <c r="E12" s="66" t="s">
        <v>311</v>
      </c>
    </row>
    <row r="13" spans="1:5" x14ac:dyDescent="0.25">
      <c r="D13" s="65">
        <v>127</v>
      </c>
      <c r="E13" s="66" t="s">
        <v>312</v>
      </c>
    </row>
    <row r="14" spans="1:5" x14ac:dyDescent="0.25">
      <c r="D14" s="65">
        <v>21</v>
      </c>
      <c r="E14" s="66" t="s">
        <v>313</v>
      </c>
    </row>
    <row r="15" spans="1:5" x14ac:dyDescent="0.25">
      <c r="D15" s="65">
        <v>173</v>
      </c>
      <c r="E15" s="66" t="s">
        <v>314</v>
      </c>
    </row>
    <row r="16" spans="1:5" x14ac:dyDescent="0.25">
      <c r="D16" s="65">
        <v>327</v>
      </c>
      <c r="E16" s="66" t="s">
        <v>315</v>
      </c>
    </row>
    <row r="17" spans="4:5" x14ac:dyDescent="0.25">
      <c r="D17" s="65">
        <v>447</v>
      </c>
      <c r="E17" s="66" t="s">
        <v>316</v>
      </c>
    </row>
    <row r="18" spans="4:5" x14ac:dyDescent="0.25">
      <c r="D18" s="65">
        <v>394</v>
      </c>
      <c r="E18" s="66" t="s">
        <v>317</v>
      </c>
    </row>
    <row r="19" spans="4:5" x14ac:dyDescent="0.25">
      <c r="D19" s="65">
        <v>143</v>
      </c>
      <c r="E19" s="66" t="s">
        <v>318</v>
      </c>
    </row>
    <row r="20" spans="4:5" x14ac:dyDescent="0.25">
      <c r="D20" s="65">
        <v>357</v>
      </c>
      <c r="E20" s="66" t="s">
        <v>319</v>
      </c>
    </row>
    <row r="21" spans="4:5" x14ac:dyDescent="0.25">
      <c r="D21" s="65">
        <v>152</v>
      </c>
      <c r="E21" s="66" t="s">
        <v>320</v>
      </c>
    </row>
    <row r="22" spans="4:5" x14ac:dyDescent="0.25">
      <c r="D22" s="65">
        <v>480</v>
      </c>
      <c r="E22" s="66" t="s">
        <v>321</v>
      </c>
    </row>
    <row r="23" spans="4:5" x14ac:dyDescent="0.25">
      <c r="D23" s="65">
        <v>476</v>
      </c>
      <c r="E23" s="66" t="s">
        <v>322</v>
      </c>
    </row>
    <row r="24" spans="4:5" x14ac:dyDescent="0.25">
      <c r="D24" s="65">
        <v>390</v>
      </c>
      <c r="E24" s="66" t="s">
        <v>323</v>
      </c>
    </row>
    <row r="25" spans="4:5" x14ac:dyDescent="0.25">
      <c r="D25" s="65">
        <v>50</v>
      </c>
      <c r="E25" s="66" t="s">
        <v>324</v>
      </c>
    </row>
    <row r="26" spans="4:5" x14ac:dyDescent="0.25">
      <c r="D26" s="65">
        <v>80</v>
      </c>
      <c r="E26" s="66" t="s">
        <v>325</v>
      </c>
    </row>
    <row r="27" spans="4:5" x14ac:dyDescent="0.25">
      <c r="D27" s="65">
        <v>316</v>
      </c>
      <c r="E27" s="66" t="s">
        <v>326</v>
      </c>
    </row>
    <row r="28" spans="4:5" x14ac:dyDescent="0.25">
      <c r="D28" s="65">
        <v>457</v>
      </c>
      <c r="E28" s="66" t="s">
        <v>327</v>
      </c>
    </row>
    <row r="29" spans="4:5" x14ac:dyDescent="0.25">
      <c r="D29" s="65">
        <v>243</v>
      </c>
      <c r="E29" s="66" t="s">
        <v>328</v>
      </c>
    </row>
    <row r="30" spans="4:5" x14ac:dyDescent="0.25">
      <c r="D30" s="65">
        <v>153</v>
      </c>
      <c r="E30" s="66" t="s">
        <v>329</v>
      </c>
    </row>
    <row r="31" spans="4:5" x14ac:dyDescent="0.25">
      <c r="D31" s="65">
        <v>103</v>
      </c>
      <c r="E31" s="66" t="s">
        <v>330</v>
      </c>
    </row>
    <row r="32" spans="4:5" x14ac:dyDescent="0.25">
      <c r="D32" s="65">
        <v>233</v>
      </c>
      <c r="E32" s="66" t="s">
        <v>331</v>
      </c>
    </row>
    <row r="33" spans="4:5" x14ac:dyDescent="0.25">
      <c r="D33" s="65">
        <v>49</v>
      </c>
      <c r="E33" s="66" t="s">
        <v>332</v>
      </c>
    </row>
    <row r="34" spans="4:5" x14ac:dyDescent="0.25">
      <c r="D34" s="65">
        <v>90</v>
      </c>
      <c r="E34" s="66" t="s">
        <v>333</v>
      </c>
    </row>
    <row r="35" spans="4:5" x14ac:dyDescent="0.25">
      <c r="D35" s="65">
        <v>114</v>
      </c>
      <c r="E35" s="66" t="s">
        <v>334</v>
      </c>
    </row>
    <row r="36" spans="4:5" x14ac:dyDescent="0.25">
      <c r="D36" s="65">
        <v>513</v>
      </c>
      <c r="E36" s="66" t="s">
        <v>335</v>
      </c>
    </row>
    <row r="37" spans="4:5" x14ac:dyDescent="0.25">
      <c r="D37" s="65">
        <v>189</v>
      </c>
      <c r="E37" s="66" t="s">
        <v>336</v>
      </c>
    </row>
    <row r="38" spans="4:5" x14ac:dyDescent="0.25">
      <c r="D38" s="65">
        <v>403</v>
      </c>
      <c r="E38" s="66" t="s">
        <v>337</v>
      </c>
    </row>
    <row r="39" spans="4:5" x14ac:dyDescent="0.25">
      <c r="D39" s="65">
        <v>169</v>
      </c>
      <c r="E39" s="66" t="s">
        <v>338</v>
      </c>
    </row>
    <row r="40" spans="4:5" x14ac:dyDescent="0.25">
      <c r="D40" s="65">
        <v>506</v>
      </c>
      <c r="E40" s="66" t="s">
        <v>339</v>
      </c>
    </row>
    <row r="41" spans="4:5" x14ac:dyDescent="0.25">
      <c r="D41" s="65">
        <v>186</v>
      </c>
      <c r="E41" s="66" t="s">
        <v>340</v>
      </c>
    </row>
    <row r="42" spans="4:5" x14ac:dyDescent="0.25">
      <c r="D42" s="65">
        <v>257</v>
      </c>
      <c r="E42" s="66" t="s">
        <v>341</v>
      </c>
    </row>
    <row r="43" spans="4:5" x14ac:dyDescent="0.25">
      <c r="D43" s="65">
        <v>433</v>
      </c>
      <c r="E43" s="66" t="s">
        <v>342</v>
      </c>
    </row>
    <row r="44" spans="4:5" x14ac:dyDescent="0.25">
      <c r="D44" s="65">
        <v>468</v>
      </c>
      <c r="E44" s="66" t="s">
        <v>343</v>
      </c>
    </row>
    <row r="45" spans="4:5" x14ac:dyDescent="0.25">
      <c r="D45" s="65">
        <v>61</v>
      </c>
      <c r="E45" s="66" t="s">
        <v>344</v>
      </c>
    </row>
    <row r="46" spans="4:5" x14ac:dyDescent="0.25">
      <c r="D46" s="65">
        <v>117</v>
      </c>
      <c r="E46" s="66" t="s">
        <v>345</v>
      </c>
    </row>
    <row r="47" spans="4:5" x14ac:dyDescent="0.25">
      <c r="D47" s="65">
        <v>478</v>
      </c>
      <c r="E47" s="66" t="s">
        <v>346</v>
      </c>
    </row>
    <row r="48" spans="4:5" x14ac:dyDescent="0.25">
      <c r="D48" s="65">
        <v>137</v>
      </c>
      <c r="E48" s="66" t="s">
        <v>347</v>
      </c>
    </row>
    <row r="49" spans="4:5" x14ac:dyDescent="0.25">
      <c r="D49" s="65">
        <v>242</v>
      </c>
      <c r="E49" s="66" t="s">
        <v>348</v>
      </c>
    </row>
    <row r="50" spans="4:5" x14ac:dyDescent="0.25">
      <c r="D50" s="65">
        <v>28</v>
      </c>
      <c r="E50" s="66" t="s">
        <v>349</v>
      </c>
    </row>
    <row r="51" spans="4:5" x14ac:dyDescent="0.25">
      <c r="D51" s="65">
        <v>139</v>
      </c>
      <c r="E51" s="66" t="s">
        <v>350</v>
      </c>
    </row>
    <row r="52" spans="4:5" x14ac:dyDescent="0.25">
      <c r="D52" s="65">
        <v>67</v>
      </c>
      <c r="E52" s="66" t="s">
        <v>351</v>
      </c>
    </row>
    <row r="53" spans="4:5" x14ac:dyDescent="0.25">
      <c r="D53" s="65">
        <v>339</v>
      </c>
      <c r="E53" s="66" t="s">
        <v>352</v>
      </c>
    </row>
    <row r="54" spans="4:5" x14ac:dyDescent="0.25">
      <c r="D54" s="65">
        <v>307</v>
      </c>
      <c r="E54" s="66" t="s">
        <v>353</v>
      </c>
    </row>
    <row r="55" spans="4:5" x14ac:dyDescent="0.25">
      <c r="D55" s="65">
        <v>48</v>
      </c>
      <c r="E55" s="66" t="s">
        <v>354</v>
      </c>
    </row>
    <row r="56" spans="4:5" x14ac:dyDescent="0.25">
      <c r="D56" s="65">
        <v>62</v>
      </c>
      <c r="E56" s="66" t="s">
        <v>355</v>
      </c>
    </row>
    <row r="57" spans="4:5" x14ac:dyDescent="0.25">
      <c r="D57" s="65">
        <v>285</v>
      </c>
      <c r="E57" s="66" t="s">
        <v>356</v>
      </c>
    </row>
    <row r="58" spans="4:5" x14ac:dyDescent="0.25">
      <c r="D58" s="65">
        <v>521</v>
      </c>
      <c r="E58" s="66" t="s">
        <v>357</v>
      </c>
    </row>
    <row r="59" spans="4:5" x14ac:dyDescent="0.25">
      <c r="D59" s="65">
        <v>246</v>
      </c>
      <c r="E59" s="66" t="s">
        <v>358</v>
      </c>
    </row>
    <row r="60" spans="4:5" x14ac:dyDescent="0.25">
      <c r="D60" s="65">
        <v>184</v>
      </c>
      <c r="E60" s="66" t="s">
        <v>359</v>
      </c>
    </row>
    <row r="61" spans="4:5" x14ac:dyDescent="0.25">
      <c r="D61" s="65">
        <v>166</v>
      </c>
      <c r="E61" s="66" t="s">
        <v>360</v>
      </c>
    </row>
    <row r="62" spans="4:5" x14ac:dyDescent="0.25">
      <c r="D62" s="65">
        <v>30</v>
      </c>
      <c r="E62" s="66" t="s">
        <v>361</v>
      </c>
    </row>
    <row r="63" spans="4:5" x14ac:dyDescent="0.25">
      <c r="D63" s="65">
        <v>71</v>
      </c>
      <c r="E63" s="66" t="s">
        <v>362</v>
      </c>
    </row>
    <row r="64" spans="4:5" x14ac:dyDescent="0.25">
      <c r="D64" s="65">
        <v>112</v>
      </c>
      <c r="E64" s="66" t="s">
        <v>363</v>
      </c>
    </row>
    <row r="65" spans="4:5" x14ac:dyDescent="0.25">
      <c r="D65" s="65">
        <v>1</v>
      </c>
      <c r="E65" s="66" t="s">
        <v>364</v>
      </c>
    </row>
    <row r="66" spans="4:5" x14ac:dyDescent="0.25">
      <c r="D66" s="65">
        <v>273</v>
      </c>
      <c r="E66" s="66" t="s">
        <v>365</v>
      </c>
    </row>
    <row r="67" spans="4:5" x14ac:dyDescent="0.25">
      <c r="D67" s="65">
        <v>368</v>
      </c>
      <c r="E67" s="66" t="s">
        <v>366</v>
      </c>
    </row>
    <row r="68" spans="4:5" x14ac:dyDescent="0.25">
      <c r="D68" s="65">
        <v>412</v>
      </c>
      <c r="E68" s="66" t="s">
        <v>367</v>
      </c>
    </row>
    <row r="69" spans="4:5" x14ac:dyDescent="0.25">
      <c r="D69" s="65">
        <v>27</v>
      </c>
      <c r="E69" s="66" t="s">
        <v>368</v>
      </c>
    </row>
    <row r="70" spans="4:5" x14ac:dyDescent="0.25">
      <c r="D70" s="65">
        <v>408</v>
      </c>
      <c r="E70" s="66" t="s">
        <v>369</v>
      </c>
    </row>
    <row r="71" spans="4:5" x14ac:dyDescent="0.25">
      <c r="D71" s="65">
        <v>106</v>
      </c>
      <c r="E71" s="66" t="s">
        <v>370</v>
      </c>
    </row>
    <row r="72" spans="4:5" x14ac:dyDescent="0.25">
      <c r="D72" s="65">
        <v>378</v>
      </c>
      <c r="E72" s="66" t="s">
        <v>371</v>
      </c>
    </row>
    <row r="73" spans="4:5" x14ac:dyDescent="0.25">
      <c r="D73" s="65">
        <v>320</v>
      </c>
      <c r="E73" s="66" t="s">
        <v>372</v>
      </c>
    </row>
    <row r="74" spans="4:5" x14ac:dyDescent="0.25">
      <c r="D74" s="65">
        <v>115</v>
      </c>
      <c r="E74" s="66" t="s">
        <v>373</v>
      </c>
    </row>
    <row r="75" spans="4:5" x14ac:dyDescent="0.25">
      <c r="D75" s="65">
        <v>93</v>
      </c>
      <c r="E75" s="66" t="s">
        <v>374</v>
      </c>
    </row>
    <row r="76" spans="4:5" x14ac:dyDescent="0.25">
      <c r="D76" s="65">
        <v>129</v>
      </c>
      <c r="E76" s="66" t="s">
        <v>375</v>
      </c>
    </row>
    <row r="77" spans="4:5" x14ac:dyDescent="0.25">
      <c r="D77" s="65">
        <v>207</v>
      </c>
      <c r="E77" s="66" t="s">
        <v>376</v>
      </c>
    </row>
    <row r="78" spans="4:5" x14ac:dyDescent="0.25">
      <c r="D78" s="65">
        <v>508</v>
      </c>
      <c r="E78" s="66" t="s">
        <v>377</v>
      </c>
    </row>
    <row r="79" spans="4:5" x14ac:dyDescent="0.25">
      <c r="D79" s="65">
        <v>385</v>
      </c>
      <c r="E79" s="66" t="s">
        <v>378</v>
      </c>
    </row>
    <row r="80" spans="4:5" x14ac:dyDescent="0.25">
      <c r="D80" s="65">
        <v>119</v>
      </c>
      <c r="E80" s="66" t="s">
        <v>379</v>
      </c>
    </row>
    <row r="81" spans="4:5" x14ac:dyDescent="0.25">
      <c r="D81" s="65">
        <v>97</v>
      </c>
      <c r="E81" s="66" t="s">
        <v>380</v>
      </c>
    </row>
    <row r="82" spans="4:5" x14ac:dyDescent="0.25">
      <c r="D82" s="65">
        <v>215</v>
      </c>
      <c r="E82" s="66" t="s">
        <v>381</v>
      </c>
    </row>
    <row r="83" spans="4:5" x14ac:dyDescent="0.25">
      <c r="D83" s="65">
        <v>11</v>
      </c>
      <c r="E83" s="66" t="s">
        <v>382</v>
      </c>
    </row>
    <row r="84" spans="4:5" x14ac:dyDescent="0.25">
      <c r="D84" s="65">
        <v>532</v>
      </c>
      <c r="E84" s="66" t="s">
        <v>383</v>
      </c>
    </row>
    <row r="85" spans="4:5" x14ac:dyDescent="0.25">
      <c r="D85" s="65">
        <v>499</v>
      </c>
      <c r="E85" s="66" t="s">
        <v>384</v>
      </c>
    </row>
    <row r="86" spans="4:5" x14ac:dyDescent="0.25">
      <c r="D86" s="65">
        <v>121</v>
      </c>
      <c r="E86" s="66" t="s">
        <v>385</v>
      </c>
    </row>
    <row r="87" spans="4:5" x14ac:dyDescent="0.25">
      <c r="D87" s="65">
        <v>100</v>
      </c>
      <c r="E87" s="66" t="s">
        <v>386</v>
      </c>
    </row>
    <row r="88" spans="4:5" x14ac:dyDescent="0.25">
      <c r="D88" s="65">
        <v>19</v>
      </c>
      <c r="E88" s="66" t="s">
        <v>387</v>
      </c>
    </row>
    <row r="89" spans="4:5" x14ac:dyDescent="0.25">
      <c r="D89" s="65">
        <v>134</v>
      </c>
      <c r="E89" s="66" t="s">
        <v>388</v>
      </c>
    </row>
    <row r="90" spans="4:5" x14ac:dyDescent="0.25">
      <c r="D90" s="65">
        <v>208</v>
      </c>
      <c r="E90" s="66" t="s">
        <v>389</v>
      </c>
    </row>
    <row r="91" spans="4:5" x14ac:dyDescent="0.25">
      <c r="D91" s="65">
        <v>192</v>
      </c>
      <c r="E91" s="66" t="s">
        <v>390</v>
      </c>
    </row>
    <row r="92" spans="4:5" x14ac:dyDescent="0.25">
      <c r="D92" s="65">
        <v>51</v>
      </c>
      <c r="E92" s="66" t="s">
        <v>391</v>
      </c>
    </row>
    <row r="93" spans="4:5" x14ac:dyDescent="0.25">
      <c r="D93" s="65">
        <v>261</v>
      </c>
      <c r="E93" s="66" t="s">
        <v>392</v>
      </c>
    </row>
    <row r="94" spans="4:5" x14ac:dyDescent="0.25">
      <c r="D94" s="65">
        <v>33</v>
      </c>
      <c r="E94" s="66" t="s">
        <v>393</v>
      </c>
    </row>
    <row r="95" spans="4:5" x14ac:dyDescent="0.25">
      <c r="D95" s="65">
        <v>247</v>
      </c>
      <c r="E95" s="66" t="s">
        <v>394</v>
      </c>
    </row>
    <row r="96" spans="4:5" x14ac:dyDescent="0.25">
      <c r="D96" s="65">
        <v>512</v>
      </c>
      <c r="E96" s="66" t="s">
        <v>395</v>
      </c>
    </row>
    <row r="97" spans="4:5" x14ac:dyDescent="0.25">
      <c r="D97" s="65">
        <v>504</v>
      </c>
      <c r="E97" s="66" t="s">
        <v>396</v>
      </c>
    </row>
    <row r="98" spans="4:5" x14ac:dyDescent="0.25">
      <c r="D98" s="65">
        <v>78</v>
      </c>
      <c r="E98" s="66" t="s">
        <v>397</v>
      </c>
    </row>
    <row r="99" spans="4:5" x14ac:dyDescent="0.25">
      <c r="D99" s="65">
        <v>122</v>
      </c>
      <c r="E99" s="66" t="s">
        <v>398</v>
      </c>
    </row>
    <row r="100" spans="4:5" x14ac:dyDescent="0.25">
      <c r="D100" s="65">
        <v>371</v>
      </c>
      <c r="E100" s="66" t="s">
        <v>399</v>
      </c>
    </row>
    <row r="101" spans="4:5" x14ac:dyDescent="0.25">
      <c r="D101" s="65">
        <v>323</v>
      </c>
      <c r="E101" s="66" t="s">
        <v>400</v>
      </c>
    </row>
    <row r="102" spans="4:5" x14ac:dyDescent="0.25">
      <c r="D102" s="65">
        <v>193</v>
      </c>
      <c r="E102" s="66" t="s">
        <v>401</v>
      </c>
    </row>
    <row r="103" spans="4:5" x14ac:dyDescent="0.25">
      <c r="D103" s="65">
        <v>203</v>
      </c>
      <c r="E103" s="66" t="s">
        <v>402</v>
      </c>
    </row>
    <row r="104" spans="4:5" x14ac:dyDescent="0.25">
      <c r="D104" s="65">
        <v>163</v>
      </c>
      <c r="E104" s="66" t="s">
        <v>403</v>
      </c>
    </row>
    <row r="105" spans="4:5" x14ac:dyDescent="0.25">
      <c r="D105" s="65">
        <v>391</v>
      </c>
      <c r="E105" s="66" t="s">
        <v>404</v>
      </c>
    </row>
    <row r="106" spans="4:5" x14ac:dyDescent="0.25">
      <c r="D106" s="65">
        <v>413</v>
      </c>
      <c r="E106" s="66" t="s">
        <v>405</v>
      </c>
    </row>
    <row r="107" spans="4:5" x14ac:dyDescent="0.25">
      <c r="D107" s="65">
        <v>198</v>
      </c>
      <c r="E107" s="66" t="s">
        <v>406</v>
      </c>
    </row>
    <row r="108" spans="4:5" x14ac:dyDescent="0.25">
      <c r="D108" s="65">
        <v>123</v>
      </c>
      <c r="E108" s="66" t="s">
        <v>407</v>
      </c>
    </row>
    <row r="109" spans="4:5" x14ac:dyDescent="0.25">
      <c r="D109" s="65">
        <v>450</v>
      </c>
      <c r="E109" s="66" t="s">
        <v>408</v>
      </c>
    </row>
    <row r="110" spans="4:5" x14ac:dyDescent="0.25">
      <c r="D110" s="65">
        <v>219</v>
      </c>
      <c r="E110" s="66" t="s">
        <v>409</v>
      </c>
    </row>
    <row r="111" spans="4:5" x14ac:dyDescent="0.25">
      <c r="D111" s="65">
        <v>425</v>
      </c>
      <c r="E111" s="66" t="s">
        <v>410</v>
      </c>
    </row>
    <row r="112" spans="4:5" x14ac:dyDescent="0.25">
      <c r="D112" s="65">
        <v>183</v>
      </c>
      <c r="E112" s="66" t="s">
        <v>411</v>
      </c>
    </row>
    <row r="113" spans="4:5" x14ac:dyDescent="0.25">
      <c r="D113" s="65">
        <v>519</v>
      </c>
      <c r="E113" s="66" t="s">
        <v>412</v>
      </c>
    </row>
    <row r="114" spans="4:5" x14ac:dyDescent="0.25">
      <c r="D114" s="65">
        <v>22</v>
      </c>
      <c r="E114" s="66" t="s">
        <v>413</v>
      </c>
    </row>
    <row r="115" spans="4:5" x14ac:dyDescent="0.25">
      <c r="D115" s="65">
        <v>377</v>
      </c>
      <c r="E115" s="66" t="s">
        <v>414</v>
      </c>
    </row>
    <row r="116" spans="4:5" x14ac:dyDescent="0.25">
      <c r="D116" s="65">
        <v>26</v>
      </c>
      <c r="E116" s="66" t="s">
        <v>415</v>
      </c>
    </row>
    <row r="117" spans="4:5" x14ac:dyDescent="0.25">
      <c r="D117" s="65">
        <v>490</v>
      </c>
      <c r="E117" s="66" t="s">
        <v>416</v>
      </c>
    </row>
    <row r="118" spans="4:5" x14ac:dyDescent="0.25">
      <c r="D118" s="65">
        <v>65</v>
      </c>
      <c r="E118" s="66" t="s">
        <v>417</v>
      </c>
    </row>
    <row r="119" spans="4:5" x14ac:dyDescent="0.25">
      <c r="D119" s="65">
        <v>515</v>
      </c>
      <c r="E119" s="66" t="s">
        <v>418</v>
      </c>
    </row>
    <row r="120" spans="4:5" x14ac:dyDescent="0.25">
      <c r="D120" s="65">
        <v>96</v>
      </c>
      <c r="E120" s="66" t="s">
        <v>419</v>
      </c>
    </row>
    <row r="121" spans="4:5" x14ac:dyDescent="0.25">
      <c r="D121" s="65">
        <v>289</v>
      </c>
      <c r="E121" s="66" t="s">
        <v>420</v>
      </c>
    </row>
    <row r="122" spans="4:5" x14ac:dyDescent="0.25">
      <c r="D122" s="65">
        <v>174</v>
      </c>
      <c r="E122" s="66" t="s">
        <v>421</v>
      </c>
    </row>
    <row r="123" spans="4:5" x14ac:dyDescent="0.25">
      <c r="D123" s="65">
        <v>128</v>
      </c>
      <c r="E123" s="66" t="s">
        <v>422</v>
      </c>
    </row>
    <row r="124" spans="4:5" x14ac:dyDescent="0.25">
      <c r="D124" s="65">
        <v>141</v>
      </c>
      <c r="E124" s="66" t="s">
        <v>423</v>
      </c>
    </row>
    <row r="125" spans="4:5" x14ac:dyDescent="0.25">
      <c r="D125" s="65">
        <v>228</v>
      </c>
      <c r="E125" s="66" t="s">
        <v>424</v>
      </c>
    </row>
    <row r="126" spans="4:5" x14ac:dyDescent="0.25">
      <c r="D126" s="65">
        <v>259</v>
      </c>
      <c r="E126" s="66" t="s">
        <v>425</v>
      </c>
    </row>
    <row r="127" spans="4:5" x14ac:dyDescent="0.25">
      <c r="D127" s="65">
        <v>318</v>
      </c>
      <c r="E127" s="66" t="s">
        <v>426</v>
      </c>
    </row>
    <row r="128" spans="4:5" x14ac:dyDescent="0.25">
      <c r="D128" s="65">
        <v>82</v>
      </c>
      <c r="E128" s="66" t="s">
        <v>427</v>
      </c>
    </row>
    <row r="129" spans="4:5" x14ac:dyDescent="0.25">
      <c r="D129" s="65">
        <v>420</v>
      </c>
      <c r="E129" s="66" t="s">
        <v>428</v>
      </c>
    </row>
    <row r="130" spans="4:5" x14ac:dyDescent="0.25">
      <c r="D130" s="65">
        <v>3</v>
      </c>
      <c r="E130" s="66" t="s">
        <v>429</v>
      </c>
    </row>
    <row r="131" spans="4:5" x14ac:dyDescent="0.25">
      <c r="D131" s="65">
        <v>206</v>
      </c>
      <c r="E131" s="66" t="s">
        <v>430</v>
      </c>
    </row>
    <row r="132" spans="4:5" x14ac:dyDescent="0.25">
      <c r="D132" s="65">
        <v>511</v>
      </c>
      <c r="E132" s="66" t="s">
        <v>431</v>
      </c>
    </row>
    <row r="133" spans="4:5" x14ac:dyDescent="0.25">
      <c r="D133" s="65">
        <v>348</v>
      </c>
      <c r="E133" s="66" t="s">
        <v>432</v>
      </c>
    </row>
    <row r="134" spans="4:5" x14ac:dyDescent="0.25">
      <c r="D134" s="65">
        <v>57</v>
      </c>
      <c r="E134" s="66" t="s">
        <v>433</v>
      </c>
    </row>
    <row r="135" spans="4:5" x14ac:dyDescent="0.25">
      <c r="D135" s="65">
        <v>269</v>
      </c>
      <c r="E135" s="66" t="s">
        <v>434</v>
      </c>
    </row>
    <row r="136" spans="4:5" x14ac:dyDescent="0.25">
      <c r="D136" s="65">
        <v>411</v>
      </c>
      <c r="E136" s="66" t="s">
        <v>435</v>
      </c>
    </row>
    <row r="137" spans="4:5" x14ac:dyDescent="0.25">
      <c r="D137" s="65">
        <v>75</v>
      </c>
      <c r="E137" s="66" t="s">
        <v>436</v>
      </c>
    </row>
    <row r="138" spans="4:5" x14ac:dyDescent="0.25">
      <c r="D138" s="65">
        <v>87</v>
      </c>
      <c r="E138" s="66" t="s">
        <v>437</v>
      </c>
    </row>
    <row r="139" spans="4:5" x14ac:dyDescent="0.25">
      <c r="D139" s="65">
        <v>56</v>
      </c>
      <c r="E139" s="66" t="s">
        <v>438</v>
      </c>
    </row>
    <row r="140" spans="4:5" x14ac:dyDescent="0.25">
      <c r="D140" s="65">
        <v>201</v>
      </c>
      <c r="E140" s="66" t="s">
        <v>439</v>
      </c>
    </row>
    <row r="141" spans="4:5" x14ac:dyDescent="0.25">
      <c r="D141" s="65">
        <v>392</v>
      </c>
      <c r="E141" s="66" t="s">
        <v>440</v>
      </c>
    </row>
    <row r="142" spans="4:5" x14ac:dyDescent="0.25">
      <c r="D142" s="65">
        <v>221</v>
      </c>
      <c r="E142" s="66" t="s">
        <v>441</v>
      </c>
    </row>
    <row r="143" spans="4:5" x14ac:dyDescent="0.25">
      <c r="D143" s="65">
        <v>212</v>
      </c>
      <c r="E143" s="66" t="s">
        <v>442</v>
      </c>
    </row>
    <row r="144" spans="4:5" x14ac:dyDescent="0.25">
      <c r="D144" s="65">
        <v>530</v>
      </c>
      <c r="E144" s="66" t="s">
        <v>443</v>
      </c>
    </row>
    <row r="145" spans="4:5" x14ac:dyDescent="0.25">
      <c r="D145" s="65">
        <v>417</v>
      </c>
      <c r="E145" s="66" t="s">
        <v>444</v>
      </c>
    </row>
    <row r="146" spans="4:5" x14ac:dyDescent="0.25">
      <c r="D146" s="65">
        <v>178</v>
      </c>
      <c r="E146" s="66" t="s">
        <v>445</v>
      </c>
    </row>
    <row r="147" spans="4:5" x14ac:dyDescent="0.25">
      <c r="D147" s="65">
        <v>177</v>
      </c>
      <c r="E147" s="66" t="s">
        <v>446</v>
      </c>
    </row>
    <row r="148" spans="4:5" x14ac:dyDescent="0.25">
      <c r="D148" s="65">
        <v>105</v>
      </c>
      <c r="E148" s="66" t="s">
        <v>447</v>
      </c>
    </row>
    <row r="149" spans="4:5" x14ac:dyDescent="0.25">
      <c r="D149" s="65">
        <v>309</v>
      </c>
      <c r="E149" s="66" t="s">
        <v>448</v>
      </c>
    </row>
    <row r="150" spans="4:5" x14ac:dyDescent="0.25">
      <c r="D150" s="65">
        <v>470</v>
      </c>
      <c r="E150" s="66" t="s">
        <v>449</v>
      </c>
    </row>
    <row r="151" spans="4:5" x14ac:dyDescent="0.25">
      <c r="D151" s="65">
        <v>151</v>
      </c>
      <c r="E151" s="66" t="s">
        <v>450</v>
      </c>
    </row>
    <row r="152" spans="4:5" x14ac:dyDescent="0.25">
      <c r="D152" s="65">
        <v>131</v>
      </c>
      <c r="E152" s="66" t="s">
        <v>451</v>
      </c>
    </row>
    <row r="153" spans="4:5" x14ac:dyDescent="0.25">
      <c r="D153" s="65">
        <v>525</v>
      </c>
      <c r="E153" s="66" t="s">
        <v>452</v>
      </c>
    </row>
    <row r="154" spans="4:5" x14ac:dyDescent="0.25">
      <c r="D154" s="65">
        <v>196</v>
      </c>
      <c r="E154" s="66" t="s">
        <v>453</v>
      </c>
    </row>
    <row r="155" spans="4:5" x14ac:dyDescent="0.25">
      <c r="D155" s="65">
        <v>12</v>
      </c>
      <c r="E155" s="66" t="s">
        <v>454</v>
      </c>
    </row>
    <row r="156" spans="4:5" x14ac:dyDescent="0.25">
      <c r="D156" s="65">
        <v>234</v>
      </c>
      <c r="E156" s="66" t="s">
        <v>455</v>
      </c>
    </row>
    <row r="157" spans="4:5" x14ac:dyDescent="0.25">
      <c r="D157" s="65">
        <v>34</v>
      </c>
      <c r="E157" s="66" t="s">
        <v>456</v>
      </c>
    </row>
    <row r="158" spans="4:5" x14ac:dyDescent="0.25">
      <c r="D158" s="65">
        <v>190</v>
      </c>
      <c r="E158" s="66" t="s">
        <v>457</v>
      </c>
    </row>
    <row r="159" spans="4:5" x14ac:dyDescent="0.25">
      <c r="D159" s="65">
        <v>529</v>
      </c>
      <c r="E159" s="66" t="s">
        <v>458</v>
      </c>
    </row>
    <row r="160" spans="4:5" x14ac:dyDescent="0.25">
      <c r="D160" s="65">
        <v>74</v>
      </c>
      <c r="E160" s="66" t="s">
        <v>459</v>
      </c>
    </row>
    <row r="161" spans="4:5" x14ac:dyDescent="0.25">
      <c r="D161" s="65">
        <v>44</v>
      </c>
      <c r="E161" s="66" t="s">
        <v>460</v>
      </c>
    </row>
    <row r="162" spans="4:5" x14ac:dyDescent="0.25">
      <c r="D162" s="65">
        <v>301</v>
      </c>
      <c r="E162" s="66" t="s">
        <v>461</v>
      </c>
    </row>
    <row r="163" spans="4:5" x14ac:dyDescent="0.25">
      <c r="D163" s="65">
        <v>149</v>
      </c>
      <c r="E163" s="66" t="s">
        <v>462</v>
      </c>
    </row>
    <row r="164" spans="4:5" x14ac:dyDescent="0.25">
      <c r="D164" s="65">
        <v>486</v>
      </c>
      <c r="E164" s="66" t="s">
        <v>463</v>
      </c>
    </row>
    <row r="165" spans="4:5" x14ac:dyDescent="0.25">
      <c r="D165" s="65">
        <v>432</v>
      </c>
      <c r="E165" s="66" t="s">
        <v>464</v>
      </c>
    </row>
    <row r="166" spans="4:5" x14ac:dyDescent="0.25">
      <c r="D166" s="65">
        <v>355</v>
      </c>
      <c r="E166" s="66" t="s">
        <v>465</v>
      </c>
    </row>
    <row r="167" spans="4:5" x14ac:dyDescent="0.25">
      <c r="D167" s="65">
        <v>15</v>
      </c>
      <c r="E167" s="66" t="s">
        <v>466</v>
      </c>
    </row>
    <row r="168" spans="4:5" x14ac:dyDescent="0.25">
      <c r="D168" s="65">
        <v>150</v>
      </c>
      <c r="E168" s="66" t="s">
        <v>467</v>
      </c>
    </row>
    <row r="169" spans="4:5" x14ac:dyDescent="0.25">
      <c r="D169" s="65">
        <v>84</v>
      </c>
      <c r="E169" s="66" t="s">
        <v>468</v>
      </c>
    </row>
    <row r="170" spans="4:5" x14ac:dyDescent="0.25">
      <c r="D170" s="65">
        <v>503</v>
      </c>
      <c r="E170" s="66" t="s">
        <v>469</v>
      </c>
    </row>
    <row r="171" spans="4:5" x14ac:dyDescent="0.25">
      <c r="D171" s="65">
        <v>133</v>
      </c>
      <c r="E171" s="66" t="s">
        <v>470</v>
      </c>
    </row>
    <row r="172" spans="4:5" x14ac:dyDescent="0.25">
      <c r="D172" s="65">
        <v>474</v>
      </c>
      <c r="E172" s="66" t="s">
        <v>471</v>
      </c>
    </row>
    <row r="173" spans="4:5" x14ac:dyDescent="0.25">
      <c r="D173" s="65">
        <v>292</v>
      </c>
      <c r="E173" s="66" t="s">
        <v>472</v>
      </c>
    </row>
    <row r="174" spans="4:5" x14ac:dyDescent="0.25">
      <c r="D174" s="65">
        <v>8</v>
      </c>
      <c r="E174" s="66" t="s">
        <v>473</v>
      </c>
    </row>
    <row r="175" spans="4:5" x14ac:dyDescent="0.25">
      <c r="D175" s="65">
        <v>422</v>
      </c>
      <c r="E175" s="66" t="s">
        <v>474</v>
      </c>
    </row>
    <row r="176" spans="4:5" x14ac:dyDescent="0.25">
      <c r="D176" s="65">
        <v>225</v>
      </c>
      <c r="E176" s="66" t="s">
        <v>475</v>
      </c>
    </row>
    <row r="177" spans="4:5" x14ac:dyDescent="0.25">
      <c r="D177" s="65">
        <v>68</v>
      </c>
      <c r="E177" s="66" t="s">
        <v>476</v>
      </c>
    </row>
    <row r="178" spans="4:5" x14ac:dyDescent="0.25">
      <c r="D178" s="65">
        <v>384</v>
      </c>
      <c r="E178" s="66" t="s">
        <v>477</v>
      </c>
    </row>
    <row r="179" spans="4:5" x14ac:dyDescent="0.25">
      <c r="D179" s="65">
        <v>35</v>
      </c>
      <c r="E179" s="66" t="s">
        <v>478</v>
      </c>
    </row>
    <row r="180" spans="4:5" x14ac:dyDescent="0.25">
      <c r="D180" s="65">
        <v>401</v>
      </c>
      <c r="E180" s="66" t="s">
        <v>479</v>
      </c>
    </row>
    <row r="181" spans="4:5" x14ac:dyDescent="0.25">
      <c r="D181" s="65">
        <v>229</v>
      </c>
      <c r="E181" s="66" t="s">
        <v>480</v>
      </c>
    </row>
    <row r="182" spans="4:5" x14ac:dyDescent="0.25">
      <c r="D182" s="65">
        <v>188</v>
      </c>
      <c r="E182" s="66" t="s">
        <v>481</v>
      </c>
    </row>
    <row r="183" spans="4:5" x14ac:dyDescent="0.25">
      <c r="D183" s="65">
        <v>364</v>
      </c>
      <c r="E183" s="66" t="s">
        <v>482</v>
      </c>
    </row>
    <row r="184" spans="4:5" x14ac:dyDescent="0.25">
      <c r="D184" s="65">
        <v>14</v>
      </c>
      <c r="E184" s="66" t="s">
        <v>483</v>
      </c>
    </row>
    <row r="185" spans="4:5" x14ac:dyDescent="0.25">
      <c r="D185" s="65">
        <v>118</v>
      </c>
      <c r="E185" s="66" t="s">
        <v>484</v>
      </c>
    </row>
    <row r="186" spans="4:5" x14ac:dyDescent="0.25">
      <c r="D186" s="65">
        <v>124</v>
      </c>
      <c r="E186" s="66" t="s">
        <v>485</v>
      </c>
    </row>
    <row r="187" spans="4:5" x14ac:dyDescent="0.25">
      <c r="D187" s="65">
        <v>165</v>
      </c>
      <c r="E187" s="66" t="s">
        <v>486</v>
      </c>
    </row>
    <row r="188" spans="4:5" x14ac:dyDescent="0.25">
      <c r="D188" s="65">
        <v>353</v>
      </c>
      <c r="E188" s="66" t="s">
        <v>487</v>
      </c>
    </row>
    <row r="189" spans="4:5" x14ac:dyDescent="0.25">
      <c r="D189" s="65">
        <v>352</v>
      </c>
      <c r="E189" s="66" t="s">
        <v>488</v>
      </c>
    </row>
    <row r="190" spans="4:5" x14ac:dyDescent="0.25">
      <c r="D190" s="65">
        <v>155</v>
      </c>
      <c r="E190" s="66" t="s">
        <v>489</v>
      </c>
    </row>
    <row r="191" spans="4:5" x14ac:dyDescent="0.25">
      <c r="D191" s="65">
        <v>333</v>
      </c>
      <c r="E191" s="66" t="s">
        <v>490</v>
      </c>
    </row>
    <row r="192" spans="4:5" x14ac:dyDescent="0.25">
      <c r="D192" s="65">
        <v>85</v>
      </c>
      <c r="E192" s="66" t="s">
        <v>491</v>
      </c>
    </row>
    <row r="193" spans="4:5" x14ac:dyDescent="0.25">
      <c r="D193" s="65">
        <v>396</v>
      </c>
      <c r="E193" s="66" t="s">
        <v>492</v>
      </c>
    </row>
    <row r="194" spans="4:5" x14ac:dyDescent="0.25">
      <c r="D194" s="65">
        <v>426</v>
      </c>
      <c r="E194" s="66" t="s">
        <v>493</v>
      </c>
    </row>
    <row r="195" spans="4:5" x14ac:dyDescent="0.25">
      <c r="D195" s="65">
        <v>69</v>
      </c>
      <c r="E195" s="66" t="s">
        <v>494</v>
      </c>
    </row>
    <row r="196" spans="4:5" x14ac:dyDescent="0.25">
      <c r="D196" s="65">
        <v>321</v>
      </c>
      <c r="E196" s="66" t="s">
        <v>495</v>
      </c>
    </row>
    <row r="197" spans="4:5" x14ac:dyDescent="0.25">
      <c r="D197" s="65">
        <v>415</v>
      </c>
      <c r="E197" s="66" t="s">
        <v>496</v>
      </c>
    </row>
    <row r="198" spans="4:5" x14ac:dyDescent="0.25">
      <c r="D198" s="65">
        <v>164</v>
      </c>
      <c r="E198" s="66" t="s">
        <v>497</v>
      </c>
    </row>
    <row r="199" spans="4:5" x14ac:dyDescent="0.25">
      <c r="D199" s="65">
        <v>471</v>
      </c>
      <c r="E199" s="66" t="s">
        <v>498</v>
      </c>
    </row>
    <row r="200" spans="4:5" x14ac:dyDescent="0.25">
      <c r="D200" s="65">
        <v>237</v>
      </c>
      <c r="E200" s="66" t="s">
        <v>499</v>
      </c>
    </row>
    <row r="201" spans="4:5" x14ac:dyDescent="0.25">
      <c r="D201" s="65">
        <v>101</v>
      </c>
      <c r="E201" s="66" t="s">
        <v>500</v>
      </c>
    </row>
    <row r="202" spans="4:5" x14ac:dyDescent="0.25">
      <c r="D202" s="65">
        <v>297</v>
      </c>
      <c r="E202" s="66" t="s">
        <v>501</v>
      </c>
    </row>
    <row r="203" spans="4:5" x14ac:dyDescent="0.25">
      <c r="D203" s="65">
        <v>344</v>
      </c>
      <c r="E203" s="66" t="s">
        <v>502</v>
      </c>
    </row>
    <row r="204" spans="4:5" x14ac:dyDescent="0.25">
      <c r="D204" s="65">
        <v>176</v>
      </c>
      <c r="E204" s="66" t="s">
        <v>503</v>
      </c>
    </row>
    <row r="205" spans="4:5" x14ac:dyDescent="0.25">
      <c r="D205" s="65">
        <v>254</v>
      </c>
      <c r="E205" s="66" t="s">
        <v>504</v>
      </c>
    </row>
    <row r="206" spans="4:5" x14ac:dyDescent="0.25">
      <c r="D206" s="65">
        <v>477</v>
      </c>
      <c r="E206" s="66" t="s">
        <v>505</v>
      </c>
    </row>
    <row r="207" spans="4:5" x14ac:dyDescent="0.25">
      <c r="D207" s="65">
        <v>230</v>
      </c>
      <c r="E207" s="66" t="s">
        <v>506</v>
      </c>
    </row>
    <row r="208" spans="4:5" x14ac:dyDescent="0.25">
      <c r="D208" s="65">
        <v>351</v>
      </c>
      <c r="E208" s="66" t="s">
        <v>507</v>
      </c>
    </row>
    <row r="209" spans="4:5" x14ac:dyDescent="0.25">
      <c r="D209" s="65">
        <v>455</v>
      </c>
      <c r="E209" s="66" t="s">
        <v>508</v>
      </c>
    </row>
    <row r="210" spans="4:5" x14ac:dyDescent="0.25">
      <c r="D210" s="65">
        <v>211</v>
      </c>
      <c r="E210" s="66" t="s">
        <v>509</v>
      </c>
    </row>
  </sheetData>
  <conditionalFormatting sqref="D1:D8">
    <cfRule type="duplicateValues" dxfId="0" priority="411"/>
  </conditionalFormatting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E17"/>
  <sheetViews>
    <sheetView workbookViewId="0">
      <selection activeCell="B1" sqref="B1"/>
    </sheetView>
  </sheetViews>
  <sheetFormatPr baseColWidth="10" defaultColWidth="11.5703125" defaultRowHeight="14.25" x14ac:dyDescent="0.3"/>
  <cols>
    <col min="1" max="1" width="7.5703125" style="2" customWidth="1"/>
    <col min="2" max="2" width="9.42578125" style="2" customWidth="1"/>
    <col min="3" max="3" width="13.28515625" style="2" customWidth="1"/>
    <col min="4" max="16384" width="11.5703125" style="2"/>
  </cols>
  <sheetData>
    <row r="1" spans="1:5" x14ac:dyDescent="0.3">
      <c r="A1" s="24" t="s">
        <v>2</v>
      </c>
      <c r="B1" s="29" t="s">
        <v>10</v>
      </c>
      <c r="C1" s="30" t="s">
        <v>8</v>
      </c>
      <c r="D1" s="31" t="s">
        <v>21</v>
      </c>
      <c r="E1" s="31" t="s">
        <v>4</v>
      </c>
    </row>
    <row r="2" spans="1:5" x14ac:dyDescent="0.3">
      <c r="A2" s="25">
        <v>1</v>
      </c>
      <c r="B2" s="26" t="s">
        <v>96</v>
      </c>
      <c r="C2" s="28" t="s">
        <v>11</v>
      </c>
      <c r="D2" s="15" t="s">
        <v>74</v>
      </c>
      <c r="E2" s="15" t="s">
        <v>72</v>
      </c>
    </row>
    <row r="3" spans="1:5" x14ac:dyDescent="0.3">
      <c r="A3" s="25">
        <v>2</v>
      </c>
      <c r="B3" s="27" t="s">
        <v>62</v>
      </c>
      <c r="C3" s="28" t="s">
        <v>11</v>
      </c>
      <c r="D3" s="15" t="s">
        <v>63</v>
      </c>
      <c r="E3" s="15" t="s">
        <v>64</v>
      </c>
    </row>
    <row r="4" spans="1:5" x14ac:dyDescent="0.3">
      <c r="A4" s="25">
        <v>3</v>
      </c>
      <c r="B4" s="27" t="s">
        <v>67</v>
      </c>
      <c r="C4" s="28" t="s">
        <v>11</v>
      </c>
      <c r="D4" s="15" t="s">
        <v>291</v>
      </c>
      <c r="E4" s="15" t="s">
        <v>68</v>
      </c>
    </row>
    <row r="5" spans="1:5" x14ac:dyDescent="0.3">
      <c r="A5" s="25">
        <v>4</v>
      </c>
      <c r="B5" s="27" t="s">
        <v>73</v>
      </c>
      <c r="C5" s="28" t="s">
        <v>11</v>
      </c>
      <c r="D5" s="15" t="s">
        <v>292</v>
      </c>
      <c r="E5" s="15" t="s">
        <v>64</v>
      </c>
    </row>
    <row r="6" spans="1:5" x14ac:dyDescent="0.3">
      <c r="A6" s="25">
        <v>5</v>
      </c>
      <c r="B6" s="27" t="s">
        <v>97</v>
      </c>
      <c r="C6" s="28" t="s">
        <v>11</v>
      </c>
      <c r="D6" s="15" t="s">
        <v>69</v>
      </c>
      <c r="E6" s="15" t="s">
        <v>75</v>
      </c>
    </row>
    <row r="7" spans="1:5" x14ac:dyDescent="0.3">
      <c r="A7" s="25">
        <v>6</v>
      </c>
      <c r="B7" s="27" t="s">
        <v>76</v>
      </c>
      <c r="C7" s="28" t="s">
        <v>33</v>
      </c>
      <c r="D7" s="15" t="s">
        <v>33</v>
      </c>
      <c r="E7" s="15" t="s">
        <v>296</v>
      </c>
    </row>
    <row r="8" spans="1:5" x14ac:dyDescent="0.3">
      <c r="A8" s="25">
        <v>7</v>
      </c>
      <c r="B8" s="27" t="s">
        <v>70</v>
      </c>
      <c r="C8" s="28" t="s">
        <v>11</v>
      </c>
      <c r="D8" s="15" t="s">
        <v>71</v>
      </c>
      <c r="E8" s="15" t="s">
        <v>80</v>
      </c>
    </row>
    <row r="9" spans="1:5" x14ac:dyDescent="0.3">
      <c r="A9" s="25">
        <v>8</v>
      </c>
      <c r="B9" s="27" t="s">
        <v>77</v>
      </c>
      <c r="C9" s="28" t="s">
        <v>11</v>
      </c>
      <c r="D9" s="15" t="s">
        <v>79</v>
      </c>
      <c r="E9" s="15" t="s">
        <v>78</v>
      </c>
    </row>
    <row r="10" spans="1:5" x14ac:dyDescent="0.3">
      <c r="A10" s="25">
        <v>9</v>
      </c>
      <c r="B10" s="27" t="s">
        <v>98</v>
      </c>
      <c r="C10" s="28" t="s">
        <v>11</v>
      </c>
      <c r="D10" s="15" t="s">
        <v>80</v>
      </c>
      <c r="E10" s="15" t="s">
        <v>81</v>
      </c>
    </row>
    <row r="11" spans="1:5" x14ac:dyDescent="0.3">
      <c r="A11" s="25">
        <v>10</v>
      </c>
      <c r="B11" s="27" t="s">
        <v>65</v>
      </c>
      <c r="C11" s="28" t="s">
        <v>11</v>
      </c>
      <c r="D11" s="15" t="s">
        <v>66</v>
      </c>
      <c r="E11" s="15" t="s">
        <v>297</v>
      </c>
    </row>
    <row r="12" spans="1:5" x14ac:dyDescent="0.3">
      <c r="A12" s="25" t="s">
        <v>94</v>
      </c>
      <c r="B12" s="27" t="s">
        <v>99</v>
      </c>
      <c r="C12" s="28" t="s">
        <v>13</v>
      </c>
      <c r="D12" s="15" t="s">
        <v>293</v>
      </c>
      <c r="E12" s="15" t="s">
        <v>298</v>
      </c>
    </row>
    <row r="13" spans="1:5" x14ac:dyDescent="0.3">
      <c r="A13" s="25" t="s">
        <v>95</v>
      </c>
      <c r="B13" s="27" t="s">
        <v>100</v>
      </c>
      <c r="C13" s="28" t="s">
        <v>13</v>
      </c>
      <c r="D13" s="15" t="s">
        <v>294</v>
      </c>
      <c r="E13" s="15" t="s">
        <v>299</v>
      </c>
    </row>
    <row r="14" spans="1:5" x14ac:dyDescent="0.3">
      <c r="A14" s="25">
        <v>12</v>
      </c>
      <c r="B14" s="26" t="s">
        <v>85</v>
      </c>
      <c r="C14" s="28" t="s">
        <v>45</v>
      </c>
      <c r="D14" s="15" t="s">
        <v>90</v>
      </c>
      <c r="E14" s="15" t="s">
        <v>45</v>
      </c>
    </row>
    <row r="15" spans="1:5" x14ac:dyDescent="0.3">
      <c r="A15" s="25">
        <v>13</v>
      </c>
      <c r="B15" s="26" t="s">
        <v>86</v>
      </c>
      <c r="C15" s="28" t="s">
        <v>45</v>
      </c>
      <c r="D15" s="15" t="s">
        <v>91</v>
      </c>
      <c r="E15" s="15" t="s">
        <v>88</v>
      </c>
    </row>
    <row r="16" spans="1:5" x14ac:dyDescent="0.3">
      <c r="A16" s="33">
        <v>14</v>
      </c>
      <c r="B16" s="27" t="s">
        <v>82</v>
      </c>
      <c r="C16" s="28" t="s">
        <v>14</v>
      </c>
      <c r="D16" s="15" t="s">
        <v>295</v>
      </c>
      <c r="E16" s="15" t="s">
        <v>300</v>
      </c>
    </row>
    <row r="17" spans="1:5" x14ac:dyDescent="0.3">
      <c r="A17" s="25">
        <v>15</v>
      </c>
      <c r="B17" s="27" t="s">
        <v>89</v>
      </c>
      <c r="C17" s="28" t="s">
        <v>45</v>
      </c>
      <c r="D17" s="15" t="s">
        <v>87</v>
      </c>
      <c r="E17" s="15" t="s">
        <v>301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F17"/>
  <sheetViews>
    <sheetView workbookViewId="0">
      <selection activeCell="D21" sqref="D21"/>
    </sheetView>
  </sheetViews>
  <sheetFormatPr baseColWidth="10" defaultRowHeight="15" x14ac:dyDescent="0.25"/>
  <cols>
    <col min="2" max="2" width="6.7109375" customWidth="1"/>
    <col min="6" max="6" width="11.7109375" style="57" bestFit="1" customWidth="1"/>
  </cols>
  <sheetData>
    <row r="1" spans="1:6" x14ac:dyDescent="0.25">
      <c r="A1" s="58" t="s">
        <v>47</v>
      </c>
      <c r="B1" s="58" t="s">
        <v>2</v>
      </c>
      <c r="C1" s="58" t="s">
        <v>23</v>
      </c>
      <c r="D1" s="58" t="s">
        <v>7</v>
      </c>
      <c r="E1" s="58" t="s">
        <v>16</v>
      </c>
      <c r="F1" s="59" t="s">
        <v>46</v>
      </c>
    </row>
    <row r="2" spans="1:6" x14ac:dyDescent="0.25">
      <c r="A2" s="60" t="str">
        <f>VLOOKUP(B2,Seguimiento!D:G,4,0)</f>
        <v>PALOMINO</v>
      </c>
      <c r="B2" s="64">
        <v>1</v>
      </c>
      <c r="C2" s="60">
        <f>COUNTIFS(Tabla1[RUTA],STATUS!B2)</f>
        <v>11</v>
      </c>
      <c r="D2" s="60">
        <f>C2-E2</f>
        <v>0</v>
      </c>
      <c r="E2" s="60">
        <f>COUNTIFS(Seguimiento!D:D,STATUS!B2,Seguimiento!K:K,"EN RUTA")</f>
        <v>11</v>
      </c>
      <c r="F2" s="61">
        <f>D2/C2</f>
        <v>0</v>
      </c>
    </row>
    <row r="3" spans="1:6" x14ac:dyDescent="0.25">
      <c r="A3" s="60" t="str">
        <f>VLOOKUP(B3,Seguimiento!D:G,4,0)</f>
        <v>PALOMINO</v>
      </c>
      <c r="B3" s="64">
        <v>2</v>
      </c>
      <c r="C3" s="60">
        <f>COUNTIFS(Tabla1[RUTA],STATUS!B3)</f>
        <v>12</v>
      </c>
      <c r="D3" s="60">
        <f t="shared" ref="D3:D17" si="0">C3-E3</f>
        <v>0</v>
      </c>
      <c r="E3" s="60">
        <f>COUNTIFS(Seguimiento!D:D,STATUS!B3,Seguimiento!K:K,"EN RUTA")</f>
        <v>12</v>
      </c>
      <c r="F3" s="61">
        <f t="shared" ref="F3:F17" si="1">D3/C3</f>
        <v>0</v>
      </c>
    </row>
    <row r="4" spans="1:6" x14ac:dyDescent="0.25">
      <c r="A4" s="60" t="str">
        <f>VLOOKUP(B4,Seguimiento!D:G,4,0)</f>
        <v>PALOMINO</v>
      </c>
      <c r="B4" s="64">
        <v>3</v>
      </c>
      <c r="C4" s="60">
        <f>COUNTIFS(Tabla1[RUTA],STATUS!B4)</f>
        <v>15</v>
      </c>
      <c r="D4" s="60">
        <f t="shared" si="0"/>
        <v>0</v>
      </c>
      <c r="E4" s="60">
        <f>COUNTIFS(Seguimiento!D:D,STATUS!B4,Seguimiento!K:K,"EN RUTA")</f>
        <v>15</v>
      </c>
      <c r="F4" s="61">
        <f t="shared" si="1"/>
        <v>0</v>
      </c>
    </row>
    <row r="5" spans="1:6" x14ac:dyDescent="0.25">
      <c r="A5" s="60" t="str">
        <f>VLOOKUP(B5,Seguimiento!D:G,4,0)</f>
        <v>PALOMINO</v>
      </c>
      <c r="B5" s="64">
        <v>4</v>
      </c>
      <c r="C5" s="60">
        <f>COUNTIFS(Tabla1[RUTA],STATUS!B5)</f>
        <v>13</v>
      </c>
      <c r="D5" s="60">
        <f t="shared" si="0"/>
        <v>0</v>
      </c>
      <c r="E5" s="60">
        <f>COUNTIFS(Seguimiento!D:D,STATUS!B5,Seguimiento!K:K,"EN RUTA")</f>
        <v>13</v>
      </c>
      <c r="F5" s="61">
        <f t="shared" si="1"/>
        <v>0</v>
      </c>
    </row>
    <row r="6" spans="1:6" x14ac:dyDescent="0.25">
      <c r="A6" s="60" t="str">
        <f>VLOOKUP(B6,Seguimiento!D:G,4,0)</f>
        <v>PALOMINO</v>
      </c>
      <c r="B6" s="64">
        <v>5</v>
      </c>
      <c r="C6" s="60">
        <f>COUNTIFS(Tabla1[RUTA],STATUS!B6)</f>
        <v>16</v>
      </c>
      <c r="D6" s="60">
        <f t="shared" si="0"/>
        <v>0</v>
      </c>
      <c r="E6" s="60">
        <f>COUNTIFS(Seguimiento!D:D,STATUS!B6,Seguimiento!K:K,"EN RUTA")</f>
        <v>16</v>
      </c>
      <c r="F6" s="61">
        <f t="shared" si="1"/>
        <v>0</v>
      </c>
    </row>
    <row r="7" spans="1:6" hidden="1" x14ac:dyDescent="0.25">
      <c r="A7" s="60" t="str">
        <f>VLOOKUP(B7,Seguimiento!D:G,4,0)</f>
        <v>CANCHARI</v>
      </c>
      <c r="B7" s="64">
        <v>6</v>
      </c>
      <c r="C7" s="60">
        <f>COUNTIFS(Tabla1[RUTA],STATUS!B7)</f>
        <v>12</v>
      </c>
      <c r="D7" s="60">
        <f t="shared" si="0"/>
        <v>0</v>
      </c>
      <c r="E7" s="60">
        <f>COUNTIFS(Seguimiento!D:D,STATUS!B7,Seguimiento!K:K,"EN RUTA")</f>
        <v>12</v>
      </c>
      <c r="F7" s="61">
        <f t="shared" si="1"/>
        <v>0</v>
      </c>
    </row>
    <row r="8" spans="1:6" x14ac:dyDescent="0.25">
      <c r="A8" s="60" t="str">
        <f>VLOOKUP(B8,Seguimiento!D:G,4,0)</f>
        <v>PALOMINO</v>
      </c>
      <c r="B8" s="64">
        <v>7</v>
      </c>
      <c r="C8" s="60">
        <f>COUNTIFS(Tabla1[RUTA],STATUS!B8)</f>
        <v>18</v>
      </c>
      <c r="D8" s="60">
        <f t="shared" si="0"/>
        <v>0</v>
      </c>
      <c r="E8" s="60">
        <f>COUNTIFS(Seguimiento!D:D,STATUS!B8,Seguimiento!K:K,"EN RUTA")</f>
        <v>18</v>
      </c>
      <c r="F8" s="61">
        <f t="shared" si="1"/>
        <v>0</v>
      </c>
    </row>
    <row r="9" spans="1:6" x14ac:dyDescent="0.25">
      <c r="A9" s="60" t="str">
        <f>VLOOKUP(B9,Seguimiento!D:G,4,0)</f>
        <v>PALOMINO</v>
      </c>
      <c r="B9" s="64">
        <v>8</v>
      </c>
      <c r="C9" s="60">
        <f>COUNTIFS(Tabla1[RUTA],STATUS!B9)</f>
        <v>13</v>
      </c>
      <c r="D9" s="60">
        <f t="shared" si="0"/>
        <v>0</v>
      </c>
      <c r="E9" s="60">
        <f>COUNTIFS(Seguimiento!D:D,STATUS!B9,Seguimiento!K:K,"EN RUTA")</f>
        <v>13</v>
      </c>
      <c r="F9" s="61">
        <f t="shared" si="1"/>
        <v>0</v>
      </c>
    </row>
    <row r="10" spans="1:6" x14ac:dyDescent="0.25">
      <c r="A10" s="60" t="str">
        <f>VLOOKUP(B10,Seguimiento!D:G,4,0)</f>
        <v>PALOMINO</v>
      </c>
      <c r="B10" s="64">
        <v>9</v>
      </c>
      <c r="C10" s="60">
        <f>COUNTIFS(Tabla1[RUTA],STATUS!B10)</f>
        <v>13</v>
      </c>
      <c r="D10" s="60">
        <f t="shared" si="0"/>
        <v>0</v>
      </c>
      <c r="E10" s="60">
        <f>COUNTIFS(Seguimiento!D:D,STATUS!B10,Seguimiento!K:K,"EN RUTA")</f>
        <v>13</v>
      </c>
      <c r="F10" s="61">
        <f t="shared" si="1"/>
        <v>0</v>
      </c>
    </row>
    <row r="11" spans="1:6" x14ac:dyDescent="0.25">
      <c r="A11" s="60" t="str">
        <f>VLOOKUP(B11,Seguimiento!D:G,4,0)</f>
        <v>PALOMINO</v>
      </c>
      <c r="B11" s="64">
        <v>10</v>
      </c>
      <c r="C11" s="60">
        <f>COUNTIFS(Tabla1[RUTA],STATUS!B11)</f>
        <v>14</v>
      </c>
      <c r="D11" s="60">
        <f t="shared" si="0"/>
        <v>0</v>
      </c>
      <c r="E11" s="60">
        <f>COUNTIFS(Seguimiento!D:D,STATUS!B11,Seguimiento!K:K,"EN RUTA")</f>
        <v>14</v>
      </c>
      <c r="F11" s="61">
        <f t="shared" si="1"/>
        <v>0</v>
      </c>
    </row>
    <row r="12" spans="1:6" hidden="1" x14ac:dyDescent="0.25">
      <c r="A12" s="60" t="str">
        <f>VLOOKUP(B12,Seguimiento!D:G,4,0)</f>
        <v>LEYVA</v>
      </c>
      <c r="B12" s="64" t="s">
        <v>94</v>
      </c>
      <c r="C12" s="60">
        <f>COUNTIFS(Tabla1[RUTA],STATUS!B12)</f>
        <v>5</v>
      </c>
      <c r="D12" s="60">
        <f t="shared" ref="D12" si="2">C12-E12</f>
        <v>0</v>
      </c>
      <c r="E12" s="60">
        <f>COUNTIFS(Seguimiento!D:D,STATUS!B12,Seguimiento!K:K,"EN RUTA")</f>
        <v>5</v>
      </c>
      <c r="F12" s="61">
        <f t="shared" ref="F12" si="3">D12/C12</f>
        <v>0</v>
      </c>
    </row>
    <row r="13" spans="1:6" hidden="1" x14ac:dyDescent="0.25">
      <c r="A13" s="60" t="str">
        <f>VLOOKUP(B13,Seguimiento!D:G,4,0)</f>
        <v>LEYVA</v>
      </c>
      <c r="B13" s="64" t="s">
        <v>95</v>
      </c>
      <c r="C13" s="60">
        <f>COUNTIFS(Tabla1[RUTA],STATUS!B13)</f>
        <v>12</v>
      </c>
      <c r="D13" s="60">
        <f t="shared" ref="D13" si="4">C13-E13</f>
        <v>0</v>
      </c>
      <c r="E13" s="60">
        <f>COUNTIFS(Seguimiento!D:D,STATUS!B13,Seguimiento!K:K,"EN RUTA")</f>
        <v>12</v>
      </c>
      <c r="F13" s="61">
        <f t="shared" ref="F13" si="5">D13/C13</f>
        <v>0</v>
      </c>
    </row>
    <row r="14" spans="1:6" hidden="1" x14ac:dyDescent="0.25">
      <c r="A14" s="60" t="str">
        <f>VLOOKUP(B14,Seguimiento!D:G,4,0)</f>
        <v>CEVA</v>
      </c>
      <c r="B14" s="64">
        <v>12</v>
      </c>
      <c r="C14" s="60">
        <f>COUNTIFS(Tabla1[RUTA],STATUS!B14)</f>
        <v>13</v>
      </c>
      <c r="D14" s="60">
        <f t="shared" si="0"/>
        <v>0</v>
      </c>
      <c r="E14" s="60">
        <f>COUNTIFS(Seguimiento!D:D,STATUS!B14,Seguimiento!K:K,"EN RUTA")</f>
        <v>13</v>
      </c>
      <c r="F14" s="61">
        <f t="shared" si="1"/>
        <v>0</v>
      </c>
    </row>
    <row r="15" spans="1:6" hidden="1" x14ac:dyDescent="0.25">
      <c r="A15" s="60" t="str">
        <f>VLOOKUP(B15,Seguimiento!D:G,4,0)</f>
        <v>CEVA</v>
      </c>
      <c r="B15" s="64">
        <v>13</v>
      </c>
      <c r="C15" s="60">
        <f>COUNTIFS(Tabla1[RUTA],STATUS!B15)</f>
        <v>13</v>
      </c>
      <c r="D15" s="60">
        <f t="shared" si="0"/>
        <v>0</v>
      </c>
      <c r="E15" s="60">
        <f>COUNTIFS(Seguimiento!D:D,STATUS!B15,Seguimiento!K:K,"EN RUTA")</f>
        <v>13</v>
      </c>
      <c r="F15" s="61">
        <f t="shared" si="1"/>
        <v>0</v>
      </c>
    </row>
    <row r="16" spans="1:6" hidden="1" x14ac:dyDescent="0.25">
      <c r="A16" s="60" t="str">
        <f>VLOOKUP(B16,Seguimiento!D:G,4,0)</f>
        <v>DINET</v>
      </c>
      <c r="B16" s="64">
        <v>14</v>
      </c>
      <c r="C16" s="60">
        <f>COUNTIFS(Tabla1[RUTA],STATUS!B16)</f>
        <v>14</v>
      </c>
      <c r="D16" s="60">
        <f t="shared" si="0"/>
        <v>0</v>
      </c>
      <c r="E16" s="60">
        <f>COUNTIFS(Seguimiento!D:D,STATUS!B16,Seguimiento!K:K,"EN RUTA")</f>
        <v>14</v>
      </c>
      <c r="F16" s="61">
        <f t="shared" si="1"/>
        <v>0</v>
      </c>
    </row>
    <row r="17" spans="1:6" hidden="1" x14ac:dyDescent="0.25">
      <c r="A17" s="60" t="str">
        <f>VLOOKUP(B17,Seguimiento!D:G,4,0)</f>
        <v>CEVA</v>
      </c>
      <c r="B17" s="64">
        <v>15</v>
      </c>
      <c r="C17" s="60">
        <f>COUNTIFS(Tabla1[RUTA],STATUS!B17)</f>
        <v>14</v>
      </c>
      <c r="D17" s="60">
        <f t="shared" si="0"/>
        <v>0</v>
      </c>
      <c r="E17" s="60">
        <f>COUNTIFS(Seguimiento!D:D,STATUS!B17,Seguimiento!K:K,"EN RUTA")</f>
        <v>14</v>
      </c>
      <c r="F17" s="61">
        <f t="shared" si="1"/>
        <v>0</v>
      </c>
    </row>
  </sheetData>
  <autoFilter ref="A1:F17" xr:uid="{00000000-0009-0000-0000-000005000000}">
    <filterColumn colId="0">
      <filters>
        <filter val="PALOMINO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Seguimiento</vt:lpstr>
      <vt:lpstr>kpi</vt:lpstr>
      <vt:lpstr>Hoja2</vt:lpstr>
      <vt:lpstr>Tablas</vt:lpstr>
      <vt:lpstr>Placas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David Chavez Contreras</dc:creator>
  <cp:lastModifiedBy>Stalin</cp:lastModifiedBy>
  <cp:lastPrinted>2023-02-21T18:04:28Z</cp:lastPrinted>
  <dcterms:created xsi:type="dcterms:W3CDTF">2023-01-21T11:57:47Z</dcterms:created>
  <dcterms:modified xsi:type="dcterms:W3CDTF">2023-08-24T16:13:40Z</dcterms:modified>
</cp:coreProperties>
</file>