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lawtonskaling/Downloads/"/>
    </mc:Choice>
  </mc:AlternateContent>
  <xr:revisionPtr revIDLastSave="0" documentId="8_{574F0373-46A4-6640-AEC0-7AA04F1AE60A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Scores" sheetId="1" r:id="rId1"/>
  </sheets>
  <definedNames>
    <definedName name="_xlnm._FilterDatabase" localSheetId="0" hidden="1">Scores!$A$2:$AI$106</definedName>
    <definedName name="_xlchart.v1.0" hidden="1">Scores!$T$1</definedName>
    <definedName name="_xlchart.v1.1" hidden="1">Scores!$T$2:$T$186</definedName>
    <definedName name="_xlchart.v1.2" hidden="1">Scores!$T$1</definedName>
    <definedName name="_xlchart.v1.3" hidden="1">Scores!$T$2:$T$186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4" i="1" l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3" i="1"/>
  <c r="T63" i="1"/>
  <c r="T60" i="1"/>
  <c r="T59" i="1"/>
  <c r="T58" i="1"/>
  <c r="T57" i="1"/>
  <c r="T80" i="1"/>
  <c r="T34" i="1"/>
  <c r="T33" i="1"/>
  <c r="T24" i="1"/>
  <c r="T22" i="1"/>
  <c r="T19" i="1"/>
  <c r="T17" i="1"/>
  <c r="T13" i="1"/>
  <c r="T8" i="1"/>
  <c r="T76" i="1"/>
  <c r="T7" i="1"/>
  <c r="T6" i="1"/>
  <c r="T5" i="1"/>
  <c r="T101" i="1"/>
  <c r="T85" i="1"/>
  <c r="T94" i="1"/>
  <c r="T97" i="1"/>
  <c r="T105" i="1"/>
  <c r="T75" i="1"/>
  <c r="S34" i="1"/>
  <c r="S13" i="1"/>
  <c r="S53" i="1"/>
  <c r="T53" i="1" s="1"/>
  <c r="S70" i="1"/>
  <c r="T70" i="1" s="1"/>
  <c r="S5" i="1"/>
  <c r="S51" i="1"/>
  <c r="T51" i="1" s="1"/>
  <c r="S4" i="1"/>
  <c r="T4" i="1" s="1"/>
  <c r="S19" i="1"/>
  <c r="S32" i="1"/>
  <c r="T32" i="1" s="1"/>
  <c r="S26" i="1"/>
  <c r="T26" i="1" s="1"/>
  <c r="S7" i="1"/>
  <c r="S33" i="1"/>
  <c r="S45" i="1"/>
  <c r="T45" i="1" s="1"/>
  <c r="S62" i="1"/>
  <c r="T62" i="1" s="1"/>
  <c r="S52" i="1"/>
  <c r="T52" i="1" s="1"/>
  <c r="S31" i="1"/>
  <c r="T31" i="1" s="1"/>
  <c r="S61" i="1"/>
  <c r="T61" i="1" s="1"/>
  <c r="S64" i="1"/>
  <c r="T64" i="1" s="1"/>
  <c r="S17" i="1"/>
  <c r="S29" i="1"/>
  <c r="T29" i="1" s="1"/>
  <c r="S22" i="1"/>
  <c r="S16" i="1"/>
  <c r="T16" i="1" s="1"/>
  <c r="S10" i="1"/>
  <c r="T10" i="1" s="1"/>
  <c r="S38" i="1"/>
  <c r="T38" i="1" s="1"/>
  <c r="S71" i="1"/>
  <c r="T71" i="1" s="1"/>
  <c r="S43" i="1"/>
  <c r="T43" i="1" s="1"/>
  <c r="S67" i="1"/>
  <c r="T67" i="1" s="1"/>
  <c r="S39" i="1"/>
  <c r="T39" i="1" s="1"/>
  <c r="S41" i="1"/>
  <c r="T41" i="1" s="1"/>
  <c r="S68" i="1"/>
  <c r="T68" i="1" s="1"/>
  <c r="S60" i="1"/>
  <c r="S72" i="1"/>
  <c r="S27" i="1"/>
  <c r="T27" i="1" s="1"/>
  <c r="S66" i="1"/>
  <c r="T66" i="1" s="1"/>
  <c r="S49" i="1"/>
  <c r="T49" i="1" s="1"/>
  <c r="S42" i="1"/>
  <c r="T42" i="1" s="1"/>
  <c r="S54" i="1"/>
  <c r="T54" i="1" s="1"/>
  <c r="S63" i="1"/>
  <c r="S35" i="1"/>
  <c r="T35" i="1" s="1"/>
  <c r="S20" i="1"/>
  <c r="T20" i="1" s="1"/>
  <c r="S24" i="1"/>
  <c r="S57" i="1"/>
  <c r="S6" i="1"/>
  <c r="S47" i="1"/>
  <c r="T47" i="1" s="1"/>
  <c r="S15" i="1"/>
  <c r="T15" i="1" s="1"/>
  <c r="S3" i="1"/>
  <c r="T3" i="1" s="1"/>
  <c r="T110" i="1" s="1"/>
  <c r="S12" i="1"/>
  <c r="T12" i="1" s="1"/>
  <c r="S25" i="1"/>
  <c r="T25" i="1" s="1"/>
  <c r="S21" i="1"/>
  <c r="T21" i="1" s="1"/>
  <c r="S40" i="1"/>
  <c r="T40" i="1" s="1"/>
  <c r="S36" i="1"/>
  <c r="T36" i="1" s="1"/>
  <c r="S14" i="1"/>
  <c r="T14" i="1" s="1"/>
  <c r="S58" i="1"/>
  <c r="S46" i="1"/>
  <c r="T46" i="1" s="1"/>
  <c r="S56" i="1"/>
  <c r="T56" i="1" s="1"/>
  <c r="S48" i="1"/>
  <c r="T48" i="1" s="1"/>
  <c r="S9" i="1"/>
  <c r="T9" i="1" s="1"/>
  <c r="S65" i="1"/>
  <c r="T65" i="1" s="1"/>
  <c r="S28" i="1"/>
  <c r="T28" i="1" s="1"/>
  <c r="S44" i="1"/>
  <c r="T44" i="1" s="1"/>
  <c r="S55" i="1"/>
  <c r="T55" i="1" s="1"/>
  <c r="S50" i="1"/>
  <c r="T50" i="1" s="1"/>
  <c r="S11" i="1"/>
  <c r="T11" i="1" s="1"/>
  <c r="S18" i="1"/>
  <c r="T18" i="1" s="1"/>
  <c r="S69" i="1"/>
  <c r="T69" i="1" s="1"/>
  <c r="S92" i="1"/>
  <c r="T92" i="1" s="1"/>
  <c r="S93" i="1"/>
  <c r="T93" i="1" s="1"/>
  <c r="S89" i="1"/>
  <c r="T89" i="1" s="1"/>
  <c r="S86" i="1"/>
  <c r="T86" i="1" s="1"/>
  <c r="S87" i="1"/>
  <c r="T87" i="1" s="1"/>
  <c r="S88" i="1"/>
  <c r="T88" i="1" s="1"/>
  <c r="S85" i="1"/>
  <c r="S91" i="1"/>
  <c r="T91" i="1" s="1"/>
  <c r="S59" i="1"/>
  <c r="S90" i="1"/>
  <c r="T90" i="1" s="1"/>
  <c r="S37" i="1"/>
  <c r="T37" i="1" s="1"/>
  <c r="S78" i="1"/>
  <c r="T78" i="1" s="1"/>
  <c r="S76" i="1"/>
  <c r="S77" i="1"/>
  <c r="T77" i="1" s="1"/>
  <c r="S83" i="1"/>
  <c r="T83" i="1" s="1"/>
  <c r="S80" i="1"/>
  <c r="S79" i="1"/>
  <c r="T79" i="1" s="1"/>
  <c r="S82" i="1"/>
  <c r="T82" i="1" s="1"/>
  <c r="S84" i="1"/>
  <c r="T84" i="1" s="1"/>
  <c r="S81" i="1"/>
  <c r="T81" i="1" s="1"/>
  <c r="S102" i="1"/>
  <c r="T102" i="1" s="1"/>
  <c r="S100" i="1"/>
  <c r="T100" i="1" s="1"/>
  <c r="S99" i="1"/>
  <c r="T99" i="1" s="1"/>
  <c r="S98" i="1"/>
  <c r="T98" i="1" s="1"/>
  <c r="S101" i="1"/>
  <c r="S8" i="1"/>
  <c r="S97" i="1"/>
  <c r="S94" i="1"/>
  <c r="S104" i="1"/>
  <c r="T104" i="1" s="1"/>
  <c r="S106" i="1"/>
  <c r="T106" i="1" s="1"/>
  <c r="S105" i="1"/>
  <c r="S103" i="1"/>
  <c r="T103" i="1" s="1"/>
  <c r="S75" i="1"/>
  <c r="S30" i="1"/>
  <c r="T30" i="1" s="1"/>
  <c r="S74" i="1"/>
  <c r="T74" i="1" s="1"/>
  <c r="S73" i="1"/>
  <c r="T73" i="1" s="1"/>
  <c r="S96" i="1"/>
  <c r="T96" i="1" s="1"/>
  <c r="S95" i="1"/>
  <c r="T95" i="1" s="1"/>
  <c r="S23" i="1"/>
  <c r="T23" i="1" s="1"/>
  <c r="AD95" i="1"/>
  <c r="AA95" i="1"/>
  <c r="U95" i="1"/>
  <c r="X95" i="1" s="1"/>
  <c r="P95" i="1"/>
  <c r="M95" i="1"/>
  <c r="H95" i="1"/>
  <c r="AD96" i="1"/>
  <c r="AA96" i="1"/>
  <c r="U96" i="1"/>
  <c r="X96" i="1" s="1"/>
  <c r="P96" i="1"/>
  <c r="M96" i="1"/>
  <c r="H96" i="1"/>
  <c r="AD73" i="1"/>
  <c r="AA73" i="1"/>
  <c r="U73" i="1"/>
  <c r="X73" i="1" s="1"/>
  <c r="P73" i="1"/>
  <c r="M73" i="1"/>
  <c r="H73" i="1"/>
  <c r="AD74" i="1"/>
  <c r="AA74" i="1"/>
  <c r="U74" i="1"/>
  <c r="X74" i="1" s="1"/>
  <c r="P74" i="1"/>
  <c r="M74" i="1"/>
  <c r="H74" i="1"/>
  <c r="AD30" i="1"/>
  <c r="AA30" i="1"/>
  <c r="U30" i="1"/>
  <c r="X30" i="1" s="1"/>
  <c r="P30" i="1"/>
  <c r="M30" i="1"/>
  <c r="H30" i="1"/>
  <c r="AD75" i="1"/>
  <c r="AA75" i="1"/>
  <c r="U75" i="1"/>
  <c r="X75" i="1" s="1"/>
  <c r="P75" i="1"/>
  <c r="M75" i="1"/>
  <c r="H75" i="1"/>
  <c r="AD103" i="1"/>
  <c r="AA103" i="1"/>
  <c r="U103" i="1"/>
  <c r="X103" i="1" s="1"/>
  <c r="P103" i="1"/>
  <c r="M103" i="1"/>
  <c r="H103" i="1"/>
  <c r="AD105" i="1"/>
  <c r="AA105" i="1"/>
  <c r="U105" i="1"/>
  <c r="X105" i="1" s="1"/>
  <c r="P105" i="1"/>
  <c r="M105" i="1"/>
  <c r="H105" i="1"/>
  <c r="AD106" i="1"/>
  <c r="AA106" i="1"/>
  <c r="U106" i="1"/>
  <c r="X106" i="1" s="1"/>
  <c r="P106" i="1"/>
  <c r="M106" i="1"/>
  <c r="H106" i="1"/>
  <c r="AD104" i="1"/>
  <c r="AA104" i="1"/>
  <c r="U104" i="1"/>
  <c r="X104" i="1" s="1"/>
  <c r="P104" i="1"/>
  <c r="M104" i="1"/>
  <c r="H104" i="1"/>
  <c r="AD94" i="1"/>
  <c r="AA94" i="1"/>
  <c r="U94" i="1"/>
  <c r="X94" i="1" s="1"/>
  <c r="P94" i="1"/>
  <c r="M94" i="1"/>
  <c r="H94" i="1"/>
  <c r="AD97" i="1"/>
  <c r="AA97" i="1"/>
  <c r="U97" i="1"/>
  <c r="P97" i="1"/>
  <c r="M97" i="1"/>
  <c r="H97" i="1"/>
  <c r="AD8" i="1"/>
  <c r="AA8" i="1"/>
  <c r="U8" i="1"/>
  <c r="X8" i="1" s="1"/>
  <c r="P8" i="1"/>
  <c r="M8" i="1"/>
  <c r="H8" i="1"/>
  <c r="AD101" i="1"/>
  <c r="AA101" i="1"/>
  <c r="U101" i="1"/>
  <c r="X101" i="1" s="1"/>
  <c r="P101" i="1"/>
  <c r="M101" i="1"/>
  <c r="H101" i="1"/>
  <c r="AD98" i="1"/>
  <c r="AA98" i="1"/>
  <c r="U98" i="1"/>
  <c r="X98" i="1" s="1"/>
  <c r="P98" i="1"/>
  <c r="M98" i="1"/>
  <c r="H98" i="1"/>
  <c r="AD99" i="1"/>
  <c r="AA99" i="1"/>
  <c r="U99" i="1"/>
  <c r="X99" i="1" s="1"/>
  <c r="P99" i="1"/>
  <c r="M99" i="1"/>
  <c r="H99" i="1"/>
  <c r="AD100" i="1"/>
  <c r="AA100" i="1"/>
  <c r="U100" i="1"/>
  <c r="X100" i="1" s="1"/>
  <c r="P100" i="1"/>
  <c r="M100" i="1"/>
  <c r="H100" i="1"/>
  <c r="AL106" i="1"/>
  <c r="AJ106" i="1"/>
  <c r="AK106" i="1" s="1"/>
  <c r="AD102" i="1"/>
  <c r="AA102" i="1"/>
  <c r="U102" i="1"/>
  <c r="P102" i="1"/>
  <c r="M102" i="1"/>
  <c r="H102" i="1"/>
  <c r="AL105" i="1"/>
  <c r="AJ105" i="1"/>
  <c r="AK105" i="1" s="1"/>
  <c r="AD81" i="1"/>
  <c r="AA81" i="1"/>
  <c r="U81" i="1"/>
  <c r="X81" i="1" s="1"/>
  <c r="P81" i="1"/>
  <c r="M81" i="1"/>
  <c r="H81" i="1"/>
  <c r="AL104" i="1"/>
  <c r="AJ104" i="1"/>
  <c r="AK104" i="1" s="1"/>
  <c r="AL103" i="1"/>
  <c r="AJ103" i="1"/>
  <c r="AK103" i="1" s="1"/>
  <c r="AL102" i="1"/>
  <c r="AJ102" i="1"/>
  <c r="AK102" i="1" s="1"/>
  <c r="AD84" i="1"/>
  <c r="AA84" i="1"/>
  <c r="U84" i="1"/>
  <c r="X84" i="1" s="1"/>
  <c r="P84" i="1"/>
  <c r="M84" i="1"/>
  <c r="H84" i="1"/>
  <c r="AL101" i="1"/>
  <c r="AJ101" i="1"/>
  <c r="AK101" i="1" s="1"/>
  <c r="AD82" i="1"/>
  <c r="AA82" i="1"/>
  <c r="U82" i="1"/>
  <c r="X82" i="1" s="1"/>
  <c r="P82" i="1"/>
  <c r="M82" i="1"/>
  <c r="H82" i="1"/>
  <c r="AL100" i="1"/>
  <c r="AJ100" i="1"/>
  <c r="AK100" i="1" s="1"/>
  <c r="AL99" i="1"/>
  <c r="AJ99" i="1"/>
  <c r="AK99" i="1" s="1"/>
  <c r="AD79" i="1"/>
  <c r="AA79" i="1"/>
  <c r="U79" i="1"/>
  <c r="X79" i="1" s="1"/>
  <c r="P79" i="1"/>
  <c r="M79" i="1"/>
  <c r="H79" i="1"/>
  <c r="AL98" i="1"/>
  <c r="AJ98" i="1"/>
  <c r="AK98" i="1" s="1"/>
  <c r="AD80" i="1"/>
  <c r="AA80" i="1"/>
  <c r="U80" i="1"/>
  <c r="X80" i="1" s="1"/>
  <c r="P80" i="1"/>
  <c r="M80" i="1"/>
  <c r="H80" i="1"/>
  <c r="AL97" i="1"/>
  <c r="AJ97" i="1"/>
  <c r="AK97" i="1" s="1"/>
  <c r="AD83" i="1"/>
  <c r="AA83" i="1"/>
  <c r="U83" i="1"/>
  <c r="X83" i="1" s="1"/>
  <c r="P83" i="1"/>
  <c r="M83" i="1"/>
  <c r="H83" i="1"/>
  <c r="AL96" i="1"/>
  <c r="AJ96" i="1"/>
  <c r="AK96" i="1" s="1"/>
  <c r="AD77" i="1"/>
  <c r="AA77" i="1"/>
  <c r="U77" i="1"/>
  <c r="X77" i="1" s="1"/>
  <c r="P77" i="1"/>
  <c r="M77" i="1"/>
  <c r="H77" i="1"/>
  <c r="AL95" i="1"/>
  <c r="AJ95" i="1"/>
  <c r="AK95" i="1" s="1"/>
  <c r="AD76" i="1"/>
  <c r="AA76" i="1"/>
  <c r="U76" i="1"/>
  <c r="P76" i="1"/>
  <c r="M76" i="1"/>
  <c r="H76" i="1"/>
  <c r="AL94" i="1"/>
  <c r="AJ94" i="1"/>
  <c r="AK94" i="1" s="1"/>
  <c r="AL93" i="1"/>
  <c r="AJ93" i="1"/>
  <c r="AK93" i="1" s="1"/>
  <c r="AL92" i="1"/>
  <c r="AJ92" i="1"/>
  <c r="AK92" i="1" s="1"/>
  <c r="AD78" i="1"/>
  <c r="AA78" i="1"/>
  <c r="U78" i="1"/>
  <c r="X78" i="1" s="1"/>
  <c r="P78" i="1"/>
  <c r="M78" i="1"/>
  <c r="H78" i="1"/>
  <c r="AL91" i="1"/>
  <c r="AJ91" i="1"/>
  <c r="AK91" i="1" s="1"/>
  <c r="AD37" i="1"/>
  <c r="AA37" i="1"/>
  <c r="U37" i="1"/>
  <c r="X37" i="1" s="1"/>
  <c r="P37" i="1"/>
  <c r="M37" i="1"/>
  <c r="H37" i="1"/>
  <c r="AL90" i="1"/>
  <c r="AJ90" i="1"/>
  <c r="AK90" i="1" s="1"/>
  <c r="AL89" i="1"/>
  <c r="AJ89" i="1"/>
  <c r="AK89" i="1" s="1"/>
  <c r="AL88" i="1"/>
  <c r="AJ88" i="1"/>
  <c r="AK88" i="1" s="1"/>
  <c r="AL87" i="1"/>
  <c r="AJ87" i="1"/>
  <c r="AK87" i="1" s="1"/>
  <c r="AD90" i="1"/>
  <c r="AA90" i="1"/>
  <c r="U90" i="1"/>
  <c r="X90" i="1" s="1"/>
  <c r="P90" i="1"/>
  <c r="M90" i="1"/>
  <c r="H90" i="1"/>
  <c r="AL86" i="1"/>
  <c r="AJ86" i="1"/>
  <c r="AK86" i="1" s="1"/>
  <c r="AD59" i="1"/>
  <c r="AA59" i="1"/>
  <c r="U59" i="1"/>
  <c r="X59" i="1" s="1"/>
  <c r="P59" i="1"/>
  <c r="M59" i="1"/>
  <c r="H59" i="1"/>
  <c r="AL85" i="1"/>
  <c r="AJ85" i="1"/>
  <c r="AK85" i="1" s="1"/>
  <c r="AD91" i="1"/>
  <c r="AA91" i="1"/>
  <c r="U91" i="1"/>
  <c r="X91" i="1" s="1"/>
  <c r="P91" i="1"/>
  <c r="M91" i="1"/>
  <c r="H91" i="1"/>
  <c r="AL84" i="1"/>
  <c r="AJ84" i="1"/>
  <c r="AK84" i="1" s="1"/>
  <c r="AL83" i="1"/>
  <c r="AJ83" i="1"/>
  <c r="AK83" i="1" s="1"/>
  <c r="AD85" i="1"/>
  <c r="AA85" i="1"/>
  <c r="U85" i="1"/>
  <c r="X85" i="1" s="1"/>
  <c r="P85" i="1"/>
  <c r="M85" i="1"/>
  <c r="H85" i="1"/>
  <c r="AL82" i="1"/>
  <c r="AJ82" i="1"/>
  <c r="AK82" i="1" s="1"/>
  <c r="AL81" i="1"/>
  <c r="AJ81" i="1"/>
  <c r="AK81" i="1" s="1"/>
  <c r="AD88" i="1"/>
  <c r="AA88" i="1"/>
  <c r="U88" i="1"/>
  <c r="X88" i="1" s="1"/>
  <c r="P88" i="1"/>
  <c r="M88" i="1"/>
  <c r="H88" i="1"/>
  <c r="AL80" i="1"/>
  <c r="AJ80" i="1"/>
  <c r="AK80" i="1" s="1"/>
  <c r="AL79" i="1"/>
  <c r="AJ79" i="1"/>
  <c r="AK79" i="1" s="1"/>
  <c r="AL78" i="1"/>
  <c r="AJ78" i="1"/>
  <c r="AK78" i="1" s="1"/>
  <c r="AL77" i="1"/>
  <c r="AJ77" i="1"/>
  <c r="AK77" i="1" s="1"/>
  <c r="AL76" i="1"/>
  <c r="AJ76" i="1"/>
  <c r="AK76" i="1" s="1"/>
  <c r="AL75" i="1"/>
  <c r="AJ75" i="1"/>
  <c r="AK75" i="1" s="1"/>
  <c r="AL74" i="1"/>
  <c r="AJ74" i="1"/>
  <c r="AK74" i="1" s="1"/>
  <c r="AD87" i="1"/>
  <c r="AA87" i="1"/>
  <c r="U87" i="1"/>
  <c r="X87" i="1" s="1"/>
  <c r="P87" i="1"/>
  <c r="M87" i="1"/>
  <c r="H87" i="1"/>
  <c r="AL73" i="1"/>
  <c r="AJ73" i="1"/>
  <c r="AK73" i="1" s="1"/>
  <c r="AD86" i="1"/>
  <c r="AA86" i="1"/>
  <c r="U86" i="1"/>
  <c r="X86" i="1" s="1"/>
  <c r="P86" i="1"/>
  <c r="M86" i="1"/>
  <c r="H86" i="1"/>
  <c r="AL72" i="1"/>
  <c r="AJ72" i="1"/>
  <c r="AK72" i="1" s="1"/>
  <c r="AL71" i="1"/>
  <c r="AJ71" i="1"/>
  <c r="AK71" i="1" s="1"/>
  <c r="AD89" i="1"/>
  <c r="AA89" i="1"/>
  <c r="U89" i="1"/>
  <c r="X89" i="1" s="1"/>
  <c r="P89" i="1"/>
  <c r="M89" i="1"/>
  <c r="H89" i="1"/>
  <c r="AL70" i="1"/>
  <c r="AJ70" i="1"/>
  <c r="AK70" i="1" s="1"/>
  <c r="AD93" i="1"/>
  <c r="AA93" i="1"/>
  <c r="U93" i="1"/>
  <c r="X93" i="1" s="1"/>
  <c r="P93" i="1"/>
  <c r="M93" i="1"/>
  <c r="H93" i="1"/>
  <c r="AL69" i="1"/>
  <c r="AJ69" i="1"/>
  <c r="AK69" i="1" s="1"/>
  <c r="AD92" i="1"/>
  <c r="AA92" i="1"/>
  <c r="U92" i="1"/>
  <c r="X92" i="1" s="1"/>
  <c r="P92" i="1"/>
  <c r="M92" i="1"/>
  <c r="H92" i="1"/>
  <c r="AL68" i="1"/>
  <c r="AJ68" i="1"/>
  <c r="AK68" i="1" s="1"/>
  <c r="AL67" i="1"/>
  <c r="AJ67" i="1"/>
  <c r="AK67" i="1" s="1"/>
  <c r="AD69" i="1"/>
  <c r="AA69" i="1"/>
  <c r="U69" i="1"/>
  <c r="X69" i="1" s="1"/>
  <c r="P69" i="1"/>
  <c r="M69" i="1"/>
  <c r="H69" i="1"/>
  <c r="AL66" i="1"/>
  <c r="AJ66" i="1"/>
  <c r="AK66" i="1" s="1"/>
  <c r="AD18" i="1"/>
  <c r="AA18" i="1"/>
  <c r="U18" i="1"/>
  <c r="X18" i="1" s="1"/>
  <c r="P18" i="1"/>
  <c r="M18" i="1"/>
  <c r="H18" i="1"/>
  <c r="AL65" i="1"/>
  <c r="AJ65" i="1"/>
  <c r="AK65" i="1" s="1"/>
  <c r="AD11" i="1"/>
  <c r="AA11" i="1"/>
  <c r="U11" i="1"/>
  <c r="X11" i="1" s="1"/>
  <c r="P11" i="1"/>
  <c r="M11" i="1"/>
  <c r="H11" i="1"/>
  <c r="AL64" i="1"/>
  <c r="AJ64" i="1"/>
  <c r="AK64" i="1" s="1"/>
  <c r="AD50" i="1"/>
  <c r="AA50" i="1"/>
  <c r="U50" i="1"/>
  <c r="X50" i="1" s="1"/>
  <c r="P50" i="1"/>
  <c r="M50" i="1"/>
  <c r="H50" i="1"/>
  <c r="AL63" i="1"/>
  <c r="AJ63" i="1"/>
  <c r="AK63" i="1" s="1"/>
  <c r="AD55" i="1"/>
  <c r="AA55" i="1"/>
  <c r="U55" i="1"/>
  <c r="X55" i="1" s="1"/>
  <c r="P55" i="1"/>
  <c r="M55" i="1"/>
  <c r="H55" i="1"/>
  <c r="AL62" i="1"/>
  <c r="AJ62" i="1"/>
  <c r="AK62" i="1" s="1"/>
  <c r="AL61" i="1"/>
  <c r="AJ61" i="1"/>
  <c r="AK61" i="1" s="1"/>
  <c r="AD44" i="1"/>
  <c r="AA44" i="1"/>
  <c r="U44" i="1"/>
  <c r="X44" i="1" s="1"/>
  <c r="P44" i="1"/>
  <c r="M44" i="1"/>
  <c r="H44" i="1"/>
  <c r="AL60" i="1"/>
  <c r="AJ60" i="1"/>
  <c r="AK60" i="1" s="1"/>
  <c r="AL59" i="1"/>
  <c r="AJ59" i="1"/>
  <c r="AK59" i="1" s="1"/>
  <c r="AD28" i="1"/>
  <c r="AA28" i="1"/>
  <c r="U28" i="1"/>
  <c r="X28" i="1" s="1"/>
  <c r="P28" i="1"/>
  <c r="M28" i="1"/>
  <c r="H28" i="1"/>
  <c r="AL58" i="1"/>
  <c r="AJ58" i="1"/>
  <c r="AK58" i="1" s="1"/>
  <c r="AD65" i="1"/>
  <c r="AA65" i="1"/>
  <c r="U65" i="1"/>
  <c r="X65" i="1" s="1"/>
  <c r="P65" i="1"/>
  <c r="M65" i="1"/>
  <c r="H65" i="1"/>
  <c r="AL57" i="1"/>
  <c r="AJ57" i="1"/>
  <c r="AK57" i="1" s="1"/>
  <c r="AL56" i="1"/>
  <c r="AJ56" i="1"/>
  <c r="AK56" i="1" s="1"/>
  <c r="AD9" i="1"/>
  <c r="AA9" i="1"/>
  <c r="U9" i="1"/>
  <c r="X9" i="1" s="1"/>
  <c r="P9" i="1"/>
  <c r="M9" i="1"/>
  <c r="H9" i="1"/>
  <c r="AL55" i="1"/>
  <c r="AJ55" i="1"/>
  <c r="AK55" i="1" s="1"/>
  <c r="AD48" i="1"/>
  <c r="AA48" i="1"/>
  <c r="U48" i="1"/>
  <c r="X48" i="1" s="1"/>
  <c r="P48" i="1"/>
  <c r="M48" i="1"/>
  <c r="H48" i="1"/>
  <c r="AL54" i="1"/>
  <c r="AJ54" i="1"/>
  <c r="AK54" i="1" s="1"/>
  <c r="AD56" i="1"/>
  <c r="AA56" i="1"/>
  <c r="U56" i="1"/>
  <c r="X56" i="1" s="1"/>
  <c r="P56" i="1"/>
  <c r="M56" i="1"/>
  <c r="H56" i="1"/>
  <c r="AL53" i="1"/>
  <c r="AJ53" i="1"/>
  <c r="AK53" i="1" s="1"/>
  <c r="AD46" i="1"/>
  <c r="AA46" i="1"/>
  <c r="U46" i="1"/>
  <c r="X46" i="1" s="1"/>
  <c r="P46" i="1"/>
  <c r="M46" i="1"/>
  <c r="H46" i="1"/>
  <c r="AL52" i="1"/>
  <c r="AJ52" i="1"/>
  <c r="AK52" i="1" s="1"/>
  <c r="AD58" i="1"/>
  <c r="AA58" i="1"/>
  <c r="U58" i="1"/>
  <c r="X58" i="1" s="1"/>
  <c r="P58" i="1"/>
  <c r="M58" i="1"/>
  <c r="H58" i="1"/>
  <c r="AL51" i="1"/>
  <c r="AJ51" i="1"/>
  <c r="AK51" i="1" s="1"/>
  <c r="AL50" i="1"/>
  <c r="AJ50" i="1"/>
  <c r="AK50" i="1" s="1"/>
  <c r="AD14" i="1"/>
  <c r="AA14" i="1"/>
  <c r="U14" i="1"/>
  <c r="P14" i="1"/>
  <c r="M14" i="1"/>
  <c r="H14" i="1"/>
  <c r="AL49" i="1"/>
  <c r="AJ49" i="1"/>
  <c r="AK49" i="1" s="1"/>
  <c r="AD36" i="1"/>
  <c r="AA36" i="1"/>
  <c r="U36" i="1"/>
  <c r="X36" i="1" s="1"/>
  <c r="P36" i="1"/>
  <c r="M36" i="1"/>
  <c r="H36" i="1"/>
  <c r="AL48" i="1"/>
  <c r="AJ48" i="1"/>
  <c r="AK48" i="1" s="1"/>
  <c r="AD40" i="1"/>
  <c r="AA40" i="1"/>
  <c r="U40" i="1"/>
  <c r="X40" i="1" s="1"/>
  <c r="P40" i="1"/>
  <c r="M40" i="1"/>
  <c r="H40" i="1"/>
  <c r="AL47" i="1"/>
  <c r="AJ47" i="1"/>
  <c r="AK47" i="1" s="1"/>
  <c r="AD21" i="1"/>
  <c r="AA21" i="1"/>
  <c r="U21" i="1"/>
  <c r="X21" i="1" s="1"/>
  <c r="P21" i="1"/>
  <c r="M21" i="1"/>
  <c r="H21" i="1"/>
  <c r="AL46" i="1"/>
  <c r="AJ46" i="1"/>
  <c r="AK46" i="1" s="1"/>
  <c r="AD25" i="1"/>
  <c r="AA25" i="1"/>
  <c r="U25" i="1"/>
  <c r="X25" i="1" s="1"/>
  <c r="P25" i="1"/>
  <c r="M25" i="1"/>
  <c r="H25" i="1"/>
  <c r="AL45" i="1"/>
  <c r="AJ45" i="1"/>
  <c r="AK45" i="1" s="1"/>
  <c r="AD12" i="1"/>
  <c r="AA12" i="1"/>
  <c r="U12" i="1"/>
  <c r="X12" i="1" s="1"/>
  <c r="P12" i="1"/>
  <c r="M12" i="1"/>
  <c r="H12" i="1"/>
  <c r="AL44" i="1"/>
  <c r="AJ44" i="1"/>
  <c r="AK44" i="1" s="1"/>
  <c r="AD3" i="1"/>
  <c r="AA3" i="1"/>
  <c r="U3" i="1"/>
  <c r="X3" i="1" s="1"/>
  <c r="P3" i="1"/>
  <c r="M3" i="1"/>
  <c r="H3" i="1"/>
  <c r="AL43" i="1"/>
  <c r="AJ43" i="1"/>
  <c r="AK43" i="1" s="1"/>
  <c r="AD15" i="1"/>
  <c r="AA15" i="1"/>
  <c r="U15" i="1"/>
  <c r="X15" i="1" s="1"/>
  <c r="P15" i="1"/>
  <c r="M15" i="1"/>
  <c r="H15" i="1"/>
  <c r="AL42" i="1"/>
  <c r="AJ42" i="1"/>
  <c r="AK42" i="1" s="1"/>
  <c r="AD47" i="1"/>
  <c r="AA47" i="1"/>
  <c r="U47" i="1"/>
  <c r="X47" i="1" s="1"/>
  <c r="P47" i="1"/>
  <c r="M47" i="1"/>
  <c r="H47" i="1"/>
  <c r="AL41" i="1"/>
  <c r="AJ41" i="1"/>
  <c r="AK41" i="1" s="1"/>
  <c r="AD6" i="1"/>
  <c r="AA6" i="1"/>
  <c r="U6" i="1"/>
  <c r="X6" i="1" s="1"/>
  <c r="P6" i="1"/>
  <c r="M6" i="1"/>
  <c r="H6" i="1"/>
  <c r="AL40" i="1"/>
  <c r="AJ40" i="1"/>
  <c r="AK40" i="1" s="1"/>
  <c r="AD57" i="1"/>
  <c r="AA57" i="1"/>
  <c r="U57" i="1"/>
  <c r="P57" i="1"/>
  <c r="M57" i="1"/>
  <c r="H57" i="1"/>
  <c r="AL39" i="1"/>
  <c r="AJ39" i="1"/>
  <c r="AK39" i="1" s="1"/>
  <c r="AD24" i="1"/>
  <c r="AA24" i="1"/>
  <c r="U24" i="1"/>
  <c r="P24" i="1"/>
  <c r="M24" i="1"/>
  <c r="H24" i="1"/>
  <c r="AL38" i="1"/>
  <c r="AJ38" i="1"/>
  <c r="AK38" i="1" s="1"/>
  <c r="AD20" i="1"/>
  <c r="AA20" i="1"/>
  <c r="U20" i="1"/>
  <c r="X20" i="1" s="1"/>
  <c r="P20" i="1"/>
  <c r="M20" i="1"/>
  <c r="H20" i="1"/>
  <c r="AL37" i="1"/>
  <c r="AJ37" i="1"/>
  <c r="AK37" i="1" s="1"/>
  <c r="AD35" i="1"/>
  <c r="AA35" i="1"/>
  <c r="U35" i="1"/>
  <c r="X35" i="1" s="1"/>
  <c r="P35" i="1"/>
  <c r="M35" i="1"/>
  <c r="H35" i="1"/>
  <c r="AL36" i="1"/>
  <c r="AJ36" i="1"/>
  <c r="AK36" i="1" s="1"/>
  <c r="AD63" i="1"/>
  <c r="AA63" i="1"/>
  <c r="U63" i="1"/>
  <c r="X63" i="1" s="1"/>
  <c r="P63" i="1"/>
  <c r="M63" i="1"/>
  <c r="H63" i="1"/>
  <c r="AL35" i="1"/>
  <c r="AJ35" i="1"/>
  <c r="AK35" i="1" s="1"/>
  <c r="AD54" i="1"/>
  <c r="AA54" i="1"/>
  <c r="U54" i="1"/>
  <c r="X54" i="1" s="1"/>
  <c r="P54" i="1"/>
  <c r="M54" i="1"/>
  <c r="H54" i="1"/>
  <c r="AL34" i="1"/>
  <c r="AJ34" i="1"/>
  <c r="AK34" i="1" s="1"/>
  <c r="AD42" i="1"/>
  <c r="AA42" i="1"/>
  <c r="U42" i="1"/>
  <c r="X42" i="1" s="1"/>
  <c r="P42" i="1"/>
  <c r="M42" i="1"/>
  <c r="H42" i="1"/>
  <c r="AL33" i="1"/>
  <c r="AJ33" i="1"/>
  <c r="AK33" i="1" s="1"/>
  <c r="AL32" i="1"/>
  <c r="AJ32" i="1"/>
  <c r="AK32" i="1" s="1"/>
  <c r="AL31" i="1"/>
  <c r="AJ31" i="1"/>
  <c r="AK31" i="1" s="1"/>
  <c r="AL30" i="1"/>
  <c r="AJ30" i="1"/>
  <c r="AK30" i="1" s="1"/>
  <c r="AD49" i="1"/>
  <c r="AA49" i="1"/>
  <c r="U49" i="1"/>
  <c r="X49" i="1" s="1"/>
  <c r="P49" i="1"/>
  <c r="M49" i="1"/>
  <c r="H49" i="1"/>
  <c r="AL29" i="1"/>
  <c r="AJ29" i="1"/>
  <c r="AK29" i="1" s="1"/>
  <c r="AL28" i="1"/>
  <c r="AJ28" i="1"/>
  <c r="AK28" i="1" s="1"/>
  <c r="AD66" i="1"/>
  <c r="AA66" i="1"/>
  <c r="U66" i="1"/>
  <c r="X66" i="1" s="1"/>
  <c r="P66" i="1"/>
  <c r="M66" i="1"/>
  <c r="H66" i="1"/>
  <c r="AL27" i="1"/>
  <c r="AJ27" i="1"/>
  <c r="AK27" i="1" s="1"/>
  <c r="AD27" i="1"/>
  <c r="AA27" i="1"/>
  <c r="U27" i="1"/>
  <c r="X27" i="1" s="1"/>
  <c r="P27" i="1"/>
  <c r="M27" i="1"/>
  <c r="H27" i="1"/>
  <c r="AL26" i="1"/>
  <c r="AJ26" i="1"/>
  <c r="AK26" i="1" s="1"/>
  <c r="AD72" i="1"/>
  <c r="AA72" i="1"/>
  <c r="U72" i="1"/>
  <c r="X72" i="1" s="1"/>
  <c r="P72" i="1"/>
  <c r="M72" i="1"/>
  <c r="H72" i="1"/>
  <c r="AL25" i="1"/>
  <c r="AJ25" i="1"/>
  <c r="AK25" i="1" s="1"/>
  <c r="AL24" i="1"/>
  <c r="AJ24" i="1"/>
  <c r="AK24" i="1" s="1"/>
  <c r="AD60" i="1"/>
  <c r="AA60" i="1"/>
  <c r="U60" i="1"/>
  <c r="X60" i="1" s="1"/>
  <c r="P60" i="1"/>
  <c r="M60" i="1"/>
  <c r="H60" i="1"/>
  <c r="AL23" i="1"/>
  <c r="AJ23" i="1"/>
  <c r="AK23" i="1" s="1"/>
  <c r="AD68" i="1"/>
  <c r="AA68" i="1"/>
  <c r="U68" i="1"/>
  <c r="X68" i="1" s="1"/>
  <c r="P68" i="1"/>
  <c r="M68" i="1"/>
  <c r="H68" i="1"/>
  <c r="AL22" i="1"/>
  <c r="AJ22" i="1"/>
  <c r="AK22" i="1" s="1"/>
  <c r="AD41" i="1"/>
  <c r="AA41" i="1"/>
  <c r="U41" i="1"/>
  <c r="X41" i="1" s="1"/>
  <c r="P41" i="1"/>
  <c r="M41" i="1"/>
  <c r="H41" i="1"/>
  <c r="AL21" i="1"/>
  <c r="AJ21" i="1"/>
  <c r="AK21" i="1" s="1"/>
  <c r="AD39" i="1"/>
  <c r="AA39" i="1"/>
  <c r="U39" i="1"/>
  <c r="X39" i="1" s="1"/>
  <c r="P39" i="1"/>
  <c r="M39" i="1"/>
  <c r="H39" i="1"/>
  <c r="AL20" i="1"/>
  <c r="AJ20" i="1"/>
  <c r="AK20" i="1" s="1"/>
  <c r="AD67" i="1"/>
  <c r="AA67" i="1"/>
  <c r="U67" i="1"/>
  <c r="X67" i="1" s="1"/>
  <c r="P67" i="1"/>
  <c r="M67" i="1"/>
  <c r="H67" i="1"/>
  <c r="AL19" i="1"/>
  <c r="AJ19" i="1"/>
  <c r="AK19" i="1" s="1"/>
  <c r="AL18" i="1"/>
  <c r="AJ18" i="1"/>
  <c r="AK18" i="1" s="1"/>
  <c r="AD43" i="1"/>
  <c r="AA43" i="1"/>
  <c r="U43" i="1"/>
  <c r="X43" i="1" s="1"/>
  <c r="P43" i="1"/>
  <c r="M43" i="1"/>
  <c r="H43" i="1"/>
  <c r="AL17" i="1"/>
  <c r="AJ17" i="1"/>
  <c r="AK17" i="1" s="1"/>
  <c r="AD71" i="1"/>
  <c r="AA71" i="1"/>
  <c r="U71" i="1"/>
  <c r="P71" i="1"/>
  <c r="M71" i="1"/>
  <c r="H71" i="1"/>
  <c r="AL16" i="1"/>
  <c r="AJ16" i="1"/>
  <c r="AK16" i="1" s="1"/>
  <c r="AD38" i="1"/>
  <c r="AA38" i="1"/>
  <c r="U38" i="1"/>
  <c r="X38" i="1" s="1"/>
  <c r="P38" i="1"/>
  <c r="M38" i="1"/>
  <c r="H38" i="1"/>
  <c r="AL15" i="1"/>
  <c r="AJ15" i="1"/>
  <c r="AK15" i="1" s="1"/>
  <c r="AD10" i="1"/>
  <c r="AA10" i="1"/>
  <c r="U10" i="1"/>
  <c r="X10" i="1" s="1"/>
  <c r="P10" i="1"/>
  <c r="M10" i="1"/>
  <c r="H10" i="1"/>
  <c r="AL14" i="1"/>
  <c r="AJ14" i="1"/>
  <c r="AK14" i="1" s="1"/>
  <c r="AD16" i="1"/>
  <c r="AA16" i="1"/>
  <c r="U16" i="1"/>
  <c r="X16" i="1" s="1"/>
  <c r="P16" i="1"/>
  <c r="M16" i="1"/>
  <c r="H16" i="1"/>
  <c r="AL13" i="1"/>
  <c r="AJ13" i="1"/>
  <c r="AK13" i="1" s="1"/>
  <c r="AD22" i="1"/>
  <c r="AA22" i="1"/>
  <c r="U22" i="1"/>
  <c r="X22" i="1" s="1"/>
  <c r="P22" i="1"/>
  <c r="M22" i="1"/>
  <c r="H22" i="1"/>
  <c r="AL12" i="1"/>
  <c r="AJ12" i="1"/>
  <c r="AK12" i="1" s="1"/>
  <c r="AD29" i="1"/>
  <c r="AA29" i="1"/>
  <c r="U29" i="1"/>
  <c r="X29" i="1" s="1"/>
  <c r="P29" i="1"/>
  <c r="M29" i="1"/>
  <c r="H29" i="1"/>
  <c r="AL11" i="1"/>
  <c r="AJ11" i="1"/>
  <c r="AK11" i="1" s="1"/>
  <c r="AL10" i="1"/>
  <c r="AJ10" i="1"/>
  <c r="AK10" i="1" s="1"/>
  <c r="AD17" i="1"/>
  <c r="AA17" i="1"/>
  <c r="U17" i="1"/>
  <c r="X17" i="1" s="1"/>
  <c r="P17" i="1"/>
  <c r="M17" i="1"/>
  <c r="H17" i="1"/>
  <c r="AL9" i="1"/>
  <c r="AJ9" i="1"/>
  <c r="AK9" i="1" s="1"/>
  <c r="AD64" i="1"/>
  <c r="AA64" i="1"/>
  <c r="U64" i="1"/>
  <c r="X64" i="1" s="1"/>
  <c r="P64" i="1"/>
  <c r="M64" i="1"/>
  <c r="H64" i="1"/>
  <c r="AL8" i="1"/>
  <c r="AJ8" i="1"/>
  <c r="AK8" i="1" s="1"/>
  <c r="AL7" i="1"/>
  <c r="AJ7" i="1"/>
  <c r="AK7" i="1" s="1"/>
  <c r="AL6" i="1"/>
  <c r="AJ6" i="1"/>
  <c r="AK6" i="1" s="1"/>
  <c r="AD61" i="1"/>
  <c r="AA61" i="1"/>
  <c r="U61" i="1"/>
  <c r="X61" i="1" s="1"/>
  <c r="P61" i="1"/>
  <c r="M61" i="1"/>
  <c r="H61" i="1"/>
  <c r="AD31" i="1"/>
  <c r="AA31" i="1"/>
  <c r="U31" i="1"/>
  <c r="X31" i="1" s="1"/>
  <c r="P31" i="1"/>
  <c r="M31" i="1"/>
  <c r="H31" i="1"/>
  <c r="AD52" i="1"/>
  <c r="AA52" i="1"/>
  <c r="U52" i="1"/>
  <c r="X52" i="1" s="1"/>
  <c r="P52" i="1"/>
  <c r="M52" i="1"/>
  <c r="H52" i="1"/>
  <c r="AL5" i="1"/>
  <c r="AJ5" i="1"/>
  <c r="AK5" i="1" s="1"/>
  <c r="AD62" i="1"/>
  <c r="AA62" i="1"/>
  <c r="U62" i="1"/>
  <c r="X62" i="1" s="1"/>
  <c r="P62" i="1"/>
  <c r="M62" i="1"/>
  <c r="H62" i="1"/>
  <c r="AL4" i="1"/>
  <c r="AJ4" i="1"/>
  <c r="AK4" i="1" s="1"/>
  <c r="AD45" i="1"/>
  <c r="AA45" i="1"/>
  <c r="U45" i="1"/>
  <c r="X45" i="1" s="1"/>
  <c r="P45" i="1"/>
  <c r="M45" i="1"/>
  <c r="H45" i="1"/>
  <c r="AL3" i="1"/>
  <c r="AJ3" i="1"/>
  <c r="AK3" i="1" s="1"/>
  <c r="AD33" i="1"/>
  <c r="AA33" i="1"/>
  <c r="U33" i="1"/>
  <c r="X33" i="1" s="1"/>
  <c r="P33" i="1"/>
  <c r="M33" i="1"/>
  <c r="H33" i="1"/>
  <c r="AD7" i="1"/>
  <c r="AA7" i="1"/>
  <c r="U7" i="1"/>
  <c r="X7" i="1" s="1"/>
  <c r="P7" i="1"/>
  <c r="M7" i="1"/>
  <c r="H7" i="1"/>
  <c r="AD26" i="1"/>
  <c r="AA26" i="1"/>
  <c r="U26" i="1"/>
  <c r="X26" i="1" s="1"/>
  <c r="P26" i="1"/>
  <c r="M26" i="1"/>
  <c r="H26" i="1"/>
  <c r="AD32" i="1"/>
  <c r="AA32" i="1"/>
  <c r="U32" i="1"/>
  <c r="X32" i="1" s="1"/>
  <c r="P32" i="1"/>
  <c r="M32" i="1"/>
  <c r="H32" i="1"/>
  <c r="AD19" i="1"/>
  <c r="AA19" i="1"/>
  <c r="U19" i="1"/>
  <c r="P19" i="1"/>
  <c r="M19" i="1"/>
  <c r="H19" i="1"/>
  <c r="AD4" i="1"/>
  <c r="AA4" i="1"/>
  <c r="U4" i="1"/>
  <c r="X4" i="1" s="1"/>
  <c r="P4" i="1"/>
  <c r="M4" i="1"/>
  <c r="H4" i="1"/>
  <c r="AD51" i="1"/>
  <c r="AA51" i="1"/>
  <c r="U51" i="1"/>
  <c r="X51" i="1" s="1"/>
  <c r="P51" i="1"/>
  <c r="M51" i="1"/>
  <c r="H51" i="1"/>
  <c r="AD5" i="1"/>
  <c r="AA5" i="1"/>
  <c r="U5" i="1"/>
  <c r="X5" i="1" s="1"/>
  <c r="P5" i="1"/>
  <c r="M5" i="1"/>
  <c r="H5" i="1"/>
  <c r="AD70" i="1"/>
  <c r="AA70" i="1"/>
  <c r="U70" i="1"/>
  <c r="X70" i="1" s="1"/>
  <c r="P70" i="1"/>
  <c r="M70" i="1"/>
  <c r="H70" i="1"/>
  <c r="AD53" i="1"/>
  <c r="AA53" i="1"/>
  <c r="U53" i="1"/>
  <c r="X53" i="1" s="1"/>
  <c r="P53" i="1"/>
  <c r="M53" i="1"/>
  <c r="H53" i="1"/>
  <c r="AD13" i="1"/>
  <c r="AA13" i="1"/>
  <c r="U13" i="1"/>
  <c r="X13" i="1" s="1"/>
  <c r="P13" i="1"/>
  <c r="M13" i="1"/>
  <c r="H13" i="1"/>
  <c r="AD34" i="1"/>
  <c r="AA34" i="1"/>
  <c r="U34" i="1"/>
  <c r="X34" i="1" s="1"/>
  <c r="P34" i="1"/>
  <c r="M34" i="1"/>
  <c r="H34" i="1"/>
  <c r="AD23" i="1"/>
  <c r="AA23" i="1"/>
  <c r="U23" i="1"/>
  <c r="X23" i="1" s="1"/>
  <c r="P23" i="1"/>
  <c r="M23" i="1"/>
  <c r="H23" i="1"/>
  <c r="AE8" i="1" l="1"/>
  <c r="AE85" i="1"/>
  <c r="AE74" i="1"/>
  <c r="AE4" i="1"/>
  <c r="AE64" i="1"/>
  <c r="AE61" i="1"/>
  <c r="AE98" i="1"/>
  <c r="AE49" i="1"/>
  <c r="AE88" i="1"/>
  <c r="AE6" i="1"/>
  <c r="AE81" i="1"/>
  <c r="AE26" i="1"/>
  <c r="AE22" i="1"/>
  <c r="AE38" i="1"/>
  <c r="AE72" i="1"/>
  <c r="AE25" i="1"/>
  <c r="AE37" i="1"/>
  <c r="AE104" i="1"/>
  <c r="AE45" i="1"/>
  <c r="AE27" i="1"/>
  <c r="AE55" i="1"/>
  <c r="AE78" i="1"/>
  <c r="X102" i="1"/>
  <c r="AE102" i="1" s="1"/>
  <c r="AE5" i="1"/>
  <c r="AE31" i="1"/>
  <c r="AE92" i="1"/>
  <c r="AE82" i="1"/>
  <c r="X76" i="1"/>
  <c r="AE76" i="1" s="1"/>
  <c r="AE93" i="1"/>
  <c r="AE84" i="1"/>
  <c r="AE10" i="1"/>
  <c r="AE33" i="1"/>
  <c r="AE65" i="1"/>
  <c r="AE11" i="1"/>
  <c r="AE83" i="1"/>
  <c r="X14" i="1"/>
  <c r="AE14" i="1" s="1"/>
  <c r="AE94" i="1"/>
  <c r="AE36" i="1"/>
  <c r="AE28" i="1"/>
  <c r="AE59" i="1"/>
  <c r="X24" i="1"/>
  <c r="AE24" i="1" s="1"/>
  <c r="AE34" i="1"/>
  <c r="AE39" i="1"/>
  <c r="AE100" i="1"/>
  <c r="AE30" i="1"/>
  <c r="X57" i="1"/>
  <c r="AE57" i="1" s="1"/>
  <c r="AE21" i="1"/>
  <c r="AE77" i="1"/>
  <c r="AE96" i="1"/>
  <c r="X71" i="1"/>
  <c r="AE71" i="1" s="1"/>
  <c r="X97" i="1"/>
  <c r="AE97" i="1" s="1"/>
  <c r="AE66" i="1"/>
  <c r="AE56" i="1"/>
  <c r="AE50" i="1"/>
  <c r="AE23" i="1"/>
  <c r="AE51" i="1"/>
  <c r="AE7" i="1"/>
  <c r="AE35" i="1"/>
  <c r="AE40" i="1"/>
  <c r="AE44" i="1"/>
  <c r="AE87" i="1"/>
  <c r="AE91" i="1"/>
  <c r="AE101" i="1"/>
  <c r="AE106" i="1"/>
  <c r="AE73" i="1"/>
  <c r="AE29" i="1"/>
  <c r="AE52" i="1"/>
  <c r="AE43" i="1"/>
  <c r="AE32" i="1"/>
  <c r="AE67" i="1"/>
  <c r="AE20" i="1"/>
  <c r="AE89" i="1"/>
  <c r="AE41" i="1"/>
  <c r="AE47" i="1"/>
  <c r="AE17" i="1"/>
  <c r="AE15" i="1"/>
  <c r="AE46" i="1"/>
  <c r="AE75" i="1"/>
  <c r="X19" i="1"/>
  <c r="AE19" i="1" s="1"/>
  <c r="AE60" i="1"/>
  <c r="AE3" i="1"/>
  <c r="AE105" i="1"/>
  <c r="AE48" i="1"/>
  <c r="AE54" i="1"/>
  <c r="AE42" i="1"/>
  <c r="AE53" i="1"/>
  <c r="AE69" i="1"/>
  <c r="AE80" i="1"/>
  <c r="AE103" i="1"/>
  <c r="AE12" i="1"/>
  <c r="AE62" i="1"/>
  <c r="AE99" i="1"/>
  <c r="AE70" i="1"/>
  <c r="AE90" i="1"/>
  <c r="AE95" i="1"/>
  <c r="AE68" i="1"/>
  <c r="AE13" i="1"/>
  <c r="AE16" i="1"/>
  <c r="AE58" i="1"/>
  <c r="AE18" i="1"/>
  <c r="AE79" i="1"/>
  <c r="AE63" i="1"/>
  <c r="AE9" i="1"/>
  <c r="AE86" i="1"/>
</calcChain>
</file>

<file path=xl/sharedStrings.xml><?xml version="1.0" encoding="utf-8"?>
<sst xmlns="http://schemas.openxmlformats.org/spreadsheetml/2006/main" count="363" uniqueCount="165">
  <si>
    <t>Team Data</t>
  </si>
  <si>
    <t>Progress Updates</t>
  </si>
  <si>
    <t>Technical Reports</t>
  </si>
  <si>
    <t>Design &amp; Build Quality</t>
  </si>
  <si>
    <t>Flight Performance</t>
  </si>
  <si>
    <t>Bonuses &amp; Penalties</t>
  </si>
  <si>
    <t>Final Score &amp; Ranks</t>
  </si>
  <si>
    <t>Barrowman</t>
  </si>
  <si>
    <t>Team Number</t>
  </si>
  <si>
    <t>School</t>
  </si>
  <si>
    <t>Competition Class</t>
  </si>
  <si>
    <t>Entry (Max 15pts)</t>
  </si>
  <si>
    <t>1st Update (Max 15pts)</t>
  </si>
  <si>
    <t>2nd Update  (Max 15pts)</t>
  </si>
  <si>
    <t>3rd Update  (Max 15pts)</t>
  </si>
  <si>
    <t>Total Entry + Progress Updates  (Max 60pts)</t>
  </si>
  <si>
    <t>Late Admin Penalty/ Issues with Submission Content</t>
  </si>
  <si>
    <t>Completeness (Max 20 pts)</t>
  </si>
  <si>
    <t>Style (Max 40pts)</t>
  </si>
  <si>
    <t>Analysis (Max 140 pts)</t>
  </si>
  <si>
    <t>Total Project Technical Report (Max 200pts)</t>
  </si>
  <si>
    <t>Design Quality (Max 120pts)</t>
  </si>
  <si>
    <t>Build Quality (Max 120pts)</t>
  </si>
  <si>
    <t>Total D&amp;B</t>
  </si>
  <si>
    <t>Target Altitude</t>
  </si>
  <si>
    <t>Actual Altitude</t>
  </si>
  <si>
    <t>Final Altitude Score</t>
  </si>
  <si>
    <t>Status</t>
  </si>
  <si>
    <t>Recovery Score</t>
  </si>
  <si>
    <t>Total Flight Performance Score</t>
  </si>
  <si>
    <t>Sportsman Bonus</t>
  </si>
  <si>
    <t>Cubesat Bonus</t>
  </si>
  <si>
    <t>Bonus Total</t>
  </si>
  <si>
    <t>Payload Penalty</t>
  </si>
  <si>
    <t>Unsports Penalty</t>
  </si>
  <si>
    <t>Penalties Total</t>
  </si>
  <si>
    <t>Final Score</t>
  </si>
  <si>
    <t>Category Rank</t>
  </si>
  <si>
    <t>Total Rank</t>
  </si>
  <si>
    <t>Apogee Prediction</t>
  </si>
  <si>
    <t>Delta</t>
  </si>
  <si>
    <t>% error</t>
  </si>
  <si>
    <t>Barrowman Rank</t>
  </si>
  <si>
    <t>Aeronautical University in Queretaro</t>
  </si>
  <si>
    <t>10k - COTS</t>
  </si>
  <si>
    <t>No Damage</t>
  </si>
  <si>
    <t>Arizona State University</t>
  </si>
  <si>
    <t>Minor Damage</t>
  </si>
  <si>
    <t>Excessive Damage</t>
  </si>
  <si>
    <t>Auburn University</t>
  </si>
  <si>
    <t>Austin Community College</t>
  </si>
  <si>
    <t>Baskent University</t>
  </si>
  <si>
    <t>Baylor University</t>
  </si>
  <si>
    <t>Boise State University</t>
  </si>
  <si>
    <t>California State University, Chico</t>
  </si>
  <si>
    <t>Clarkson University</t>
  </si>
  <si>
    <t>Clemson University</t>
  </si>
  <si>
    <t>Duzce University</t>
  </si>
  <si>
    <t>Eastern Washington University</t>
  </si>
  <si>
    <t>Edmonds College</t>
  </si>
  <si>
    <t>Ege University</t>
  </si>
  <si>
    <t>Facultad de Ciencias de la IngenierÃ a y TecnologÃ a</t>
  </si>
  <si>
    <t>Florida International University</t>
  </si>
  <si>
    <t>George Fox University</t>
  </si>
  <si>
    <t>Illinois Institute of Technology</t>
  </si>
  <si>
    <t>Instituto TecnolÃ³gico de Buenos Aires</t>
  </si>
  <si>
    <t>Instituto TecnolÃ³gico de Estudios Superiores de Monterrey</t>
  </si>
  <si>
    <t>Istanbul Technical University</t>
  </si>
  <si>
    <t>Istanbul University-CerrahpaÅŸa</t>
  </si>
  <si>
    <t>KoÃ§ University</t>
  </si>
  <si>
    <t>Lenoir-Rhyne University</t>
  </si>
  <si>
    <t>Liberty University</t>
  </si>
  <si>
    <t>Michigan State University</t>
  </si>
  <si>
    <t>Michigan Technological University</t>
  </si>
  <si>
    <t>New York University Abu Dhabi</t>
  </si>
  <si>
    <t>Old Dominion University</t>
  </si>
  <si>
    <t>Pamukkale University</t>
  </si>
  <si>
    <t>Queen's University</t>
  </si>
  <si>
    <t>Rochester Institute of Technology</t>
  </si>
  <si>
    <t>Royal Melbourne Institute of Technology</t>
  </si>
  <si>
    <t>San Jose State University</t>
  </si>
  <si>
    <t>Sapienza University of Rome</t>
  </si>
  <si>
    <t>Seoul National University</t>
  </si>
  <si>
    <t>The University of Alabama</t>
  </si>
  <si>
    <t>The University of Arizona</t>
  </si>
  <si>
    <t>The University Of Texas RGV</t>
  </si>
  <si>
    <t>The University of Tulsa</t>
  </si>
  <si>
    <t>TOBB University of Economics and Technology</t>
  </si>
  <si>
    <t>Tufts University</t>
  </si>
  <si>
    <t>Universidad de Antioquia</t>
  </si>
  <si>
    <t>Universidad Nacional de AsunciÃ³n - Facultad Politecnica</t>
  </si>
  <si>
    <t>University Teknologi Malaysia</t>
  </si>
  <si>
    <t>University College London</t>
  </si>
  <si>
    <t>University of California, Berkeley</t>
  </si>
  <si>
    <t>University of California, Merced</t>
  </si>
  <si>
    <t>University of California, Santa Cruz</t>
  </si>
  <si>
    <t>University of Cincinnati</t>
  </si>
  <si>
    <t>University of Florida</t>
  </si>
  <si>
    <t>University of Georgia</t>
  </si>
  <si>
    <t>University of Kentucky</t>
  </si>
  <si>
    <t>University of Michigan-Dearborn</t>
  </si>
  <si>
    <t>University of Nebraska-Lincoln</t>
  </si>
  <si>
    <t>University of Nevada, Las Vegas</t>
  </si>
  <si>
    <t>University of New Mexico</t>
  </si>
  <si>
    <t>University of Oran</t>
  </si>
  <si>
    <t>University of Utah</t>
  </si>
  <si>
    <t>University of Virginia</t>
  </si>
  <si>
    <t>Utah State University</t>
  </si>
  <si>
    <t>Virginia Commonwealth University</t>
  </si>
  <si>
    <t>Virginia Polytechnic Institute</t>
  </si>
  <si>
    <t>Washington State University</t>
  </si>
  <si>
    <t>Wichita State University</t>
  </si>
  <si>
    <t>Worcester Polytechnic Institute</t>
  </si>
  <si>
    <t>30k - COTS</t>
  </si>
  <si>
    <t>Brigham Young University</t>
  </si>
  <si>
    <t>Case Western Reserve University</t>
  </si>
  <si>
    <t>Chulalongkorn University</t>
  </si>
  <si>
    <t>Manipal Institute of Technology</t>
  </si>
  <si>
    <t>Mississippi State University</t>
  </si>
  <si>
    <t>30k - Multi-stage</t>
  </si>
  <si>
    <t>The University of Melbourne</t>
  </si>
  <si>
    <t>The University of Texas at El Paso</t>
  </si>
  <si>
    <t>University of British Columbia</t>
  </si>
  <si>
    <t>University of Houston</t>
  </si>
  <si>
    <t>University of North Dakota</t>
  </si>
  <si>
    <t>Embry-Riddle Aeronautical University, Prescott</t>
  </si>
  <si>
    <t>Federal University of ABC</t>
  </si>
  <si>
    <t>10k - SRAD Solids</t>
  </si>
  <si>
    <t>Kent State University</t>
  </si>
  <si>
    <t>Purdue University Main Campus</t>
  </si>
  <si>
    <t>Rio de Janeiro State University</t>
  </si>
  <si>
    <t>Saint Louis University</t>
  </si>
  <si>
    <t>Texas Tech University</t>
  </si>
  <si>
    <t>University of California, Irvine</t>
  </si>
  <si>
    <t>University of Pittsburgh</t>
  </si>
  <si>
    <t>University of Windsor</t>
  </si>
  <si>
    <t>Duke University</t>
  </si>
  <si>
    <t>30k - SRAD Solids</t>
  </si>
  <si>
    <t>Federal University of Santa Catarina</t>
  </si>
  <si>
    <t>University of Minnesota Duluth</t>
  </si>
  <si>
    <t>University of Minnesota, Twin Cities</t>
  </si>
  <si>
    <t>University of Texas at San Antonio</t>
  </si>
  <si>
    <t>University of Washington - Seattle</t>
  </si>
  <si>
    <t>West Virginia University Experimental Rocketry</t>
  </si>
  <si>
    <t>UniversitÃ© Laval</t>
  </si>
  <si>
    <t>Rutgers University - New Brunswick</t>
  </si>
  <si>
    <t>45k - Multi-stage</t>
  </si>
  <si>
    <t>Technical University of Munich</t>
  </si>
  <si>
    <t>The University of Akron</t>
  </si>
  <si>
    <t>University of Missouri-Columbia</t>
  </si>
  <si>
    <t>Cornell University</t>
  </si>
  <si>
    <t>10k - SRAD Hybrid</t>
  </si>
  <si>
    <t>Iowa State University</t>
  </si>
  <si>
    <t>Monash University</t>
  </si>
  <si>
    <t>The University of Sydney</t>
  </si>
  <si>
    <t>Rice University</t>
  </si>
  <si>
    <t>30k - SRAD Hybrid</t>
  </si>
  <si>
    <t>Polytechnique Montreal</t>
  </si>
  <si>
    <t>Altitude error</t>
  </si>
  <si>
    <t>Percent Error</t>
  </si>
  <si>
    <t>Assume only the top 20% of teams correctly measured their altitude</t>
  </si>
  <si>
    <t>Status Filter</t>
  </si>
  <si>
    <t>Launch</t>
  </si>
  <si>
    <t>Top 20%</t>
  </si>
  <si>
    <t>COTS Single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</si>
</sst>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rgb="FFDE9292"/>
        <bgColor rgb="FFDE9292"/>
      </patternFill>
    </fill>
    <fill>
      <patternFill patternType="solid">
        <fgColor rgb="FF8789A5"/>
        <bgColor rgb="FF8789A5"/>
      </patternFill>
    </fill>
    <fill>
      <patternFill patternType="solid">
        <fgColor rgb="FFC5CD74"/>
        <bgColor rgb="FFC5CD74"/>
      </patternFill>
    </fill>
    <fill>
      <patternFill patternType="solid">
        <fgColor rgb="FF9CD8DD"/>
        <bgColor rgb="FF9CD8DD"/>
      </patternFill>
    </fill>
    <fill>
      <patternFill patternType="solid">
        <fgColor rgb="FFFFF2CC"/>
        <bgColor rgb="FFFFF2CC"/>
      </patternFill>
    </fill>
    <fill>
      <patternFill patternType="solid">
        <fgColor rgb="FFFCDEDE"/>
        <bgColor rgb="FFFCDEDE"/>
      </patternFill>
    </fill>
    <fill>
      <patternFill patternType="solid">
        <fgColor rgb="FFD2D3ED"/>
        <bgColor rgb="FFD2D3ED"/>
      </patternFill>
    </fill>
    <fill>
      <patternFill patternType="solid">
        <fgColor rgb="FFEFF5AF"/>
        <bgColor rgb="FFEFF5AF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8" borderId="2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9" borderId="2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10" borderId="2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3" fillId="11" borderId="2" xfId="0" applyFont="1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0" fontId="3" fillId="12" borderId="2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0" fontId="3" fillId="14" borderId="1" xfId="0" applyFont="1" applyFill="1" applyBorder="1" applyAlignment="1">
      <alignment wrapText="1"/>
    </xf>
    <xf numFmtId="164" fontId="3" fillId="14" borderId="1" xfId="0" applyNumberFormat="1" applyFont="1" applyFill="1" applyBorder="1" applyAlignment="1">
      <alignment wrapText="1"/>
    </xf>
    <xf numFmtId="0" fontId="3" fillId="14" borderId="2" xfId="0" applyFont="1" applyFill="1" applyBorder="1" applyAlignment="1">
      <alignment wrapText="1"/>
    </xf>
    <xf numFmtId="0" fontId="4" fillId="2" borderId="0" xfId="0" applyFont="1" applyFill="1"/>
    <xf numFmtId="0" fontId="4" fillId="0" borderId="0" xfId="0" applyFont="1"/>
    <xf numFmtId="0" fontId="4" fillId="0" borderId="3" xfId="0" applyFont="1" applyBorder="1"/>
    <xf numFmtId="2" fontId="4" fillId="0" borderId="0" xfId="0" applyNumberFormat="1" applyFont="1"/>
    <xf numFmtId="0" fontId="4" fillId="13" borderId="3" xfId="0" applyFont="1" applyFill="1" applyBorder="1"/>
    <xf numFmtId="0" fontId="6" fillId="15" borderId="0" xfId="0" applyFont="1" applyFill="1" applyAlignment="1">
      <alignment horizontal="right"/>
    </xf>
    <xf numFmtId="10" fontId="6" fillId="15" borderId="0" xfId="0" applyNumberFormat="1" applyFont="1" applyFill="1" applyAlignment="1">
      <alignment horizontal="right"/>
    </xf>
    <xf numFmtId="0" fontId="4" fillId="14" borderId="3" xfId="0" applyFont="1" applyFill="1" applyBorder="1"/>
    <xf numFmtId="164" fontId="4" fillId="0" borderId="0" xfId="0" applyNumberFormat="1" applyFont="1"/>
    <xf numFmtId="2" fontId="4" fillId="8" borderId="0" xfId="0" applyNumberFormat="1" applyFont="1" applyFill="1"/>
    <xf numFmtId="2" fontId="4" fillId="8" borderId="3" xfId="0" applyNumberFormat="1" applyFont="1" applyFill="1" applyBorder="1"/>
    <xf numFmtId="2" fontId="0" fillId="0" borderId="0" xfId="0" applyNumberFormat="1"/>
    <xf numFmtId="2" fontId="4" fillId="9" borderId="3" xfId="0" applyNumberFormat="1" applyFont="1" applyFill="1" applyBorder="1"/>
    <xf numFmtId="2" fontId="4" fillId="10" borderId="3" xfId="0" applyNumberFormat="1" applyFont="1" applyFill="1" applyBorder="1"/>
    <xf numFmtId="2" fontId="4" fillId="11" borderId="3" xfId="0" applyNumberFormat="1" applyFont="1" applyFill="1" applyBorder="1"/>
    <xf numFmtId="2" fontId="5" fillId="0" borderId="0" xfId="0" applyNumberFormat="1" applyFont="1" applyAlignment="1">
      <alignment horizontal="right"/>
    </xf>
    <xf numFmtId="2" fontId="4" fillId="12" borderId="3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/>
    <xf numFmtId="0" fontId="2" fillId="0" borderId="2" xfId="0" applyFont="1" applyBorder="1"/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wrapText="1"/>
    </xf>
    <xf numFmtId="2" fontId="7" fillId="0" borderId="0" xfId="0" applyNumberFormat="1" applyFont="1"/>
    <xf numFmtId="0" fontId="1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cores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7B8708C-6F17-EA4D-82E0-DA90AB8F6792}">
          <cx:tx>
            <cx:txData>
              <cx:f>_xlchart.v1.0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1228793</xdr:colOff>
      <xdr:row>117</xdr:row>
      <xdr:rowOff>6</xdr:rowOff>
    </xdr:from>
    <xdr:to>
      <xdr:col>16</xdr:col>
      <xdr:colOff>609797</xdr:colOff>
      <xdr:row>133</xdr:row>
      <xdr:rowOff>110162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87ADDBF-D791-C618-0B10-07D15A2D3C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17202" y="18804665"/>
              <a:ext cx="4562027" cy="26501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  <outlinePr summaryBelow="0" summaryRight="0"/>
  </sheetPr>
  <dimension ref="A1:AP147"/>
  <sheetViews>
    <sheetView tabSelected="1" zoomScale="136" zoomScaleNormal="123" workbookViewId="0">
      <pane xSplit="3" ySplit="2" topLeftCell="AK3" activePane="bottomRight" state="frozen"/>
      <selection pane="topRight" activeCell="D1" sqref="D1"/>
      <selection pane="bottomLeft" activeCell="A3" sqref="A3"/>
      <selection pane="bottomRight" activeCell="AM3" sqref="AM3"/>
    </sheetView>
  </sheetViews>
  <sheetFormatPr baseColWidth="10" defaultColWidth="12.5" defaultRowHeight="15.75" customHeight="1" x14ac:dyDescent="0.15"/>
  <cols>
    <col min="2" max="2" width="24" customWidth="1"/>
    <col min="3" max="3" width="16.6640625" customWidth="1"/>
    <col min="4" max="7" width="12.5" style="30"/>
    <col min="8" max="8" width="22.5" style="30" customWidth="1"/>
    <col min="9" max="9" width="25.5" style="30" customWidth="1"/>
    <col min="10" max="10" width="22.5" style="30" customWidth="1"/>
    <col min="11" max="11" width="14.5" style="30" customWidth="1"/>
    <col min="12" max="12" width="18.83203125" style="30" customWidth="1"/>
    <col min="13" max="13" width="27.1640625" style="30" customWidth="1"/>
    <col min="14" max="14" width="15" style="30" customWidth="1"/>
    <col min="15" max="15" width="13.5" style="30" customWidth="1"/>
    <col min="16" max="20" width="12.5" style="30"/>
    <col min="21" max="21" width="15" style="30" customWidth="1"/>
    <col min="22" max="22" width="16.5" customWidth="1"/>
    <col min="23" max="23" width="16.5" style="30" customWidth="1"/>
    <col min="24" max="24" width="19.5" style="30" customWidth="1"/>
    <col min="25" max="30" width="12.5" style="30"/>
  </cols>
  <sheetData>
    <row r="1" spans="1:42" ht="13" x14ac:dyDescent="0.15">
      <c r="A1" s="1"/>
      <c r="B1" s="36" t="s">
        <v>0</v>
      </c>
      <c r="C1" s="37"/>
      <c r="D1" s="39" t="s">
        <v>1</v>
      </c>
      <c r="E1" s="37"/>
      <c r="F1" s="37"/>
      <c r="G1" s="37"/>
      <c r="H1" s="37"/>
      <c r="I1" s="40" t="s">
        <v>2</v>
      </c>
      <c r="J1" s="37"/>
      <c r="K1" s="37"/>
      <c r="L1" s="37"/>
      <c r="M1" s="38"/>
      <c r="N1" s="41" t="s">
        <v>3</v>
      </c>
      <c r="O1" s="37"/>
      <c r="P1" s="38"/>
      <c r="Q1" s="42" t="s">
        <v>4</v>
      </c>
      <c r="R1" s="37"/>
      <c r="S1" s="37"/>
      <c r="T1" s="37"/>
      <c r="U1" s="37"/>
      <c r="V1" s="37"/>
      <c r="W1" s="37"/>
      <c r="X1" s="38"/>
      <c r="Y1" s="36" t="s">
        <v>5</v>
      </c>
      <c r="Z1" s="37"/>
      <c r="AA1" s="37"/>
      <c r="AB1" s="37"/>
      <c r="AC1" s="37"/>
      <c r="AD1" s="38"/>
      <c r="AE1" s="39" t="s">
        <v>6</v>
      </c>
      <c r="AF1" s="37"/>
      <c r="AG1" s="38"/>
      <c r="AH1" s="40" t="s">
        <v>7</v>
      </c>
      <c r="AI1" s="37"/>
      <c r="AJ1" s="37"/>
      <c r="AK1" s="37"/>
      <c r="AL1" s="38"/>
      <c r="AM1" s="2"/>
      <c r="AN1" s="2"/>
    </row>
    <row r="2" spans="1:42" ht="31.5" customHeight="1" x14ac:dyDescent="0.15">
      <c r="A2" s="3" t="s">
        <v>8</v>
      </c>
      <c r="B2" s="4" t="s">
        <v>9</v>
      </c>
      <c r="C2" s="5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7" t="s">
        <v>15</v>
      </c>
      <c r="I2" s="8" t="s">
        <v>16</v>
      </c>
      <c r="J2" s="8" t="s">
        <v>17</v>
      </c>
      <c r="K2" s="8" t="s">
        <v>18</v>
      </c>
      <c r="L2" s="8" t="s">
        <v>19</v>
      </c>
      <c r="M2" s="9" t="s">
        <v>20</v>
      </c>
      <c r="N2" s="10" t="s">
        <v>21</v>
      </c>
      <c r="O2" s="10" t="s">
        <v>22</v>
      </c>
      <c r="P2" s="11" t="s">
        <v>23</v>
      </c>
      <c r="Q2" s="12" t="s">
        <v>24</v>
      </c>
      <c r="R2" s="12" t="s">
        <v>25</v>
      </c>
      <c r="S2" s="43" t="s">
        <v>158</v>
      </c>
      <c r="T2" s="43" t="s">
        <v>159</v>
      </c>
      <c r="U2" s="12" t="s">
        <v>26</v>
      </c>
      <c r="V2" s="12" t="s">
        <v>27</v>
      </c>
      <c r="W2" s="12" t="s">
        <v>28</v>
      </c>
      <c r="X2" s="13" t="s">
        <v>29</v>
      </c>
      <c r="Y2" s="4" t="s">
        <v>30</v>
      </c>
      <c r="Z2" s="4" t="s">
        <v>31</v>
      </c>
      <c r="AA2" s="4" t="s">
        <v>32</v>
      </c>
      <c r="AB2" s="4" t="s">
        <v>33</v>
      </c>
      <c r="AC2" s="4" t="s">
        <v>34</v>
      </c>
      <c r="AD2" s="5" t="s">
        <v>35</v>
      </c>
      <c r="AE2" s="14" t="s">
        <v>36</v>
      </c>
      <c r="AF2" s="14" t="s">
        <v>37</v>
      </c>
      <c r="AG2" s="15" t="s">
        <v>38</v>
      </c>
      <c r="AH2" s="16" t="s">
        <v>25</v>
      </c>
      <c r="AI2" s="16" t="s">
        <v>39</v>
      </c>
      <c r="AJ2" s="16" t="s">
        <v>40</v>
      </c>
      <c r="AK2" s="17" t="s">
        <v>41</v>
      </c>
      <c r="AL2" s="18" t="s">
        <v>42</v>
      </c>
      <c r="AM2" s="45" t="s">
        <v>161</v>
      </c>
      <c r="AN2" s="45" t="s">
        <v>162</v>
      </c>
      <c r="AO2" s="46" t="s">
        <v>163</v>
      </c>
      <c r="AP2" s="46" t="s">
        <v>164</v>
      </c>
    </row>
    <row r="3" spans="1:42" ht="13" x14ac:dyDescent="0.15">
      <c r="A3" s="19">
        <v>168</v>
      </c>
      <c r="B3" s="20" t="s">
        <v>93</v>
      </c>
      <c r="C3" s="21" t="s">
        <v>44</v>
      </c>
      <c r="D3" s="22">
        <v>15</v>
      </c>
      <c r="E3" s="22">
        <v>15</v>
      </c>
      <c r="F3" s="22">
        <v>15</v>
      </c>
      <c r="G3" s="22">
        <v>15</v>
      </c>
      <c r="H3" s="31">
        <f>SUM(D3:G3)</f>
        <v>60</v>
      </c>
      <c r="I3" s="22">
        <v>5</v>
      </c>
      <c r="J3" s="22">
        <v>20</v>
      </c>
      <c r="K3" s="22">
        <v>34</v>
      </c>
      <c r="L3" s="22">
        <v>116</v>
      </c>
      <c r="M3" s="32">
        <f>SUM(J3:L3)-I3</f>
        <v>165</v>
      </c>
      <c r="N3" s="22">
        <v>73</v>
      </c>
      <c r="O3" s="22">
        <v>75</v>
      </c>
      <c r="P3" s="33">
        <f>SUM(N3:O3)</f>
        <v>148</v>
      </c>
      <c r="Q3" s="22">
        <v>10000</v>
      </c>
      <c r="R3" s="22">
        <v>20451</v>
      </c>
      <c r="S3" s="22">
        <f>R3-Q3</f>
        <v>10451</v>
      </c>
      <c r="T3" s="22">
        <f>S3/Q3</f>
        <v>1.0450999999999999</v>
      </c>
      <c r="U3" s="34">
        <f>IF(AND(Q3 &lt;&gt; "", R3 &lt;&gt; ""), MAX(0, IF(Q3 &gt; 0, 350 - ((350 / (0.3 * Q3)) * ABS(Q3 - R3)), 0)), "")</f>
        <v>0</v>
      </c>
      <c r="V3" s="20" t="s">
        <v>48</v>
      </c>
      <c r="W3" s="22"/>
      <c r="X3" s="35">
        <f>IF(OR(U3 &lt;&gt; "", W3&lt;&gt; ""),U3  + W3, "0")</f>
        <v>0</v>
      </c>
      <c r="Y3" s="22">
        <v>30</v>
      </c>
      <c r="Z3" s="22">
        <v>50</v>
      </c>
      <c r="AA3" s="28">
        <f>Z3+Y3</f>
        <v>80</v>
      </c>
      <c r="AD3" s="29">
        <f>AB3+AC3</f>
        <v>0</v>
      </c>
      <c r="AE3" s="22">
        <f>MAX(0, H3+M3+P3+X3+AA3-AD3)</f>
        <v>453</v>
      </c>
      <c r="AF3" s="20">
        <v>67</v>
      </c>
      <c r="AG3" s="23">
        <v>109</v>
      </c>
      <c r="AH3" s="20">
        <v>20451</v>
      </c>
      <c r="AI3" s="20">
        <v>9550</v>
      </c>
      <c r="AJ3" s="24">
        <f t="shared" ref="AJ3:AJ106" si="0">IF(AND(AH3 &lt;&gt; "", AI3 &lt;&gt; ""), ABS(AH3 - AI3), "")</f>
        <v>10901</v>
      </c>
      <c r="AK3" s="25">
        <f t="shared" ref="AK3:AK106" si="1">IF(AI3 = 99999, 99999, IF(AND(AI3 &lt;&gt; "", AJ3 &lt;&gt; ""), ABS(AJ3 / AI3), ""))</f>
        <v>1.1414659685863875</v>
      </c>
      <c r="AL3" s="26">
        <f ca="1">IFERROR(__xludf.DUMMYFUNCTION("IF(AG18 = 99999, 99999, IF(AND(AG18 &lt;&gt; """", AI18 &lt;&gt; """"), RANK(AI18, FILTER(AI:AI, AG:AG &lt;&gt; 99999), 1), """"))
"),31)</f>
        <v>31</v>
      </c>
      <c r="AM3">
        <f>IF(V3&lt;&gt;"Excessive Damage",1,0)</f>
        <v>0</v>
      </c>
      <c r="AN3">
        <f>IF(R3 &gt; 1000, 1, 0)</f>
        <v>1</v>
      </c>
    </row>
    <row r="4" spans="1:42" ht="13" x14ac:dyDescent="0.15">
      <c r="A4" s="19">
        <v>109</v>
      </c>
      <c r="B4" s="20" t="s">
        <v>54</v>
      </c>
      <c r="C4" s="21" t="s">
        <v>44</v>
      </c>
      <c r="D4" s="22">
        <v>15</v>
      </c>
      <c r="E4" s="22">
        <v>15</v>
      </c>
      <c r="F4" s="22">
        <v>15</v>
      </c>
      <c r="G4" s="22">
        <v>15</v>
      </c>
      <c r="H4" s="31">
        <f>SUM(D4:G4)</f>
        <v>60</v>
      </c>
      <c r="I4" s="22">
        <v>35</v>
      </c>
      <c r="J4" s="22">
        <v>6.6666666670000003</v>
      </c>
      <c r="K4" s="22">
        <v>23.666666670000001</v>
      </c>
      <c r="L4" s="22">
        <v>57.666666669999998</v>
      </c>
      <c r="M4" s="32">
        <f>SUM(J4:L4)-I4</f>
        <v>53.000000006999997</v>
      </c>
      <c r="N4" s="22">
        <v>103</v>
      </c>
      <c r="O4" s="22">
        <v>113</v>
      </c>
      <c r="P4" s="33">
        <f>SUM(N4:O4)</f>
        <v>216</v>
      </c>
      <c r="Q4" s="22">
        <v>10000</v>
      </c>
      <c r="R4" s="22">
        <v>12362</v>
      </c>
      <c r="S4" s="22">
        <f>R4-Q4</f>
        <v>2362</v>
      </c>
      <c r="T4" s="22">
        <f>S4/Q4</f>
        <v>0.23619999999999999</v>
      </c>
      <c r="U4" s="34">
        <f>IF(AND(Q4 &lt;&gt; "", R4 &lt;&gt; ""), MAX(0, IF(Q4 &gt; 0, 350 - ((350 / (0.3 * Q4)) * ABS(Q4 - R4)), 0)), "")</f>
        <v>74.433333333333337</v>
      </c>
      <c r="V4" s="20" t="s">
        <v>45</v>
      </c>
      <c r="W4" s="22">
        <v>150</v>
      </c>
      <c r="X4" s="35">
        <f>IF(OR(U4 &lt;&gt; "", W4&lt;&gt; ""),U4  + W4, "0")</f>
        <v>224.43333333333334</v>
      </c>
      <c r="Y4" s="22"/>
      <c r="Z4" s="22">
        <v>50</v>
      </c>
      <c r="AA4" s="28">
        <f>Z4+Y4</f>
        <v>50</v>
      </c>
      <c r="AD4" s="29">
        <f>AB4+AC4</f>
        <v>0</v>
      </c>
      <c r="AE4" s="22">
        <f>MAX(0, H4+M4+P4+X4+AA4-AD4)</f>
        <v>603.43333334033332</v>
      </c>
      <c r="AF4" s="20">
        <v>55</v>
      </c>
      <c r="AG4" s="23">
        <v>85</v>
      </c>
      <c r="AH4" s="20">
        <v>12362</v>
      </c>
      <c r="AI4" s="20">
        <v>15500</v>
      </c>
      <c r="AJ4" s="24">
        <f t="shared" si="0"/>
        <v>3138</v>
      </c>
      <c r="AK4" s="25">
        <f t="shared" si="1"/>
        <v>0.2024516129032258</v>
      </c>
      <c r="AL4" s="26">
        <f ca="1">IFERROR(__xludf.DUMMYFUNCTION("IF(AG19 = 99999, 99999, IF(AND(AG19 &lt;&gt; """", AI19 &lt;&gt; """"), RANK(AI19, FILTER(AI:AI, AG:AG &lt;&gt; 99999), 1), """"))
"),44)</f>
        <v>44</v>
      </c>
      <c r="AM4">
        <f t="shared" ref="AM4:AM67" si="2">IF(V4&lt;&gt;"Excessive Damage",1,0)</f>
        <v>1</v>
      </c>
      <c r="AN4">
        <f t="shared" ref="AN4:AN67" si="3">IF(R4 &gt; 1000, 1, 0)</f>
        <v>1</v>
      </c>
    </row>
    <row r="5" spans="1:42" ht="13" x14ac:dyDescent="0.15">
      <c r="A5" s="19">
        <v>106</v>
      </c>
      <c r="B5" s="20" t="s">
        <v>52</v>
      </c>
      <c r="C5" s="21" t="s">
        <v>44</v>
      </c>
      <c r="D5" s="22">
        <v>15</v>
      </c>
      <c r="E5" s="22">
        <v>15</v>
      </c>
      <c r="F5" s="22">
        <v>15</v>
      </c>
      <c r="G5" s="22">
        <v>10</v>
      </c>
      <c r="H5" s="31">
        <f>SUM(D5:G5)</f>
        <v>55</v>
      </c>
      <c r="I5" s="22">
        <v>40</v>
      </c>
      <c r="J5" s="22">
        <v>0</v>
      </c>
      <c r="K5" s="22">
        <v>24.666666670000001</v>
      </c>
      <c r="L5" s="22">
        <v>75.666666669999998</v>
      </c>
      <c r="M5" s="32">
        <f>SUM(J5:L5)-I5</f>
        <v>60.333333339999996</v>
      </c>
      <c r="N5" s="22">
        <v>77</v>
      </c>
      <c r="O5" s="22">
        <v>82</v>
      </c>
      <c r="P5" s="33">
        <f>SUM(N5:O5)</f>
        <v>159</v>
      </c>
      <c r="Q5" s="22">
        <v>10000</v>
      </c>
      <c r="R5" s="22">
        <v>12129</v>
      </c>
      <c r="S5" s="22">
        <f>R5-Q5</f>
        <v>2129</v>
      </c>
      <c r="T5" s="22">
        <f>S5/Q5</f>
        <v>0.21290000000000001</v>
      </c>
      <c r="U5" s="34">
        <f>IF(AND(Q5 &lt;&gt; "", R5 &lt;&gt; ""), MAX(0, IF(Q5 &gt; 0, 350 - ((350 / (0.3 * Q5)) * ABS(Q5 - R5)), 0)), "")</f>
        <v>101.61666666666667</v>
      </c>
      <c r="V5" s="20" t="s">
        <v>45</v>
      </c>
      <c r="W5" s="22">
        <v>150</v>
      </c>
      <c r="X5" s="35">
        <f>IF(OR(U5 &lt;&gt; "", W5&lt;&gt; ""),U5  + W5, "0")</f>
        <v>251.61666666666667</v>
      </c>
      <c r="Y5" s="22"/>
      <c r="Z5" s="22">
        <v>0</v>
      </c>
      <c r="AA5" s="28">
        <f>Z5+Y5</f>
        <v>0</v>
      </c>
      <c r="AD5" s="29">
        <f>AB5+AC5</f>
        <v>0</v>
      </c>
      <c r="AE5" s="22">
        <f>MAX(0, H5+M5+P5+X5+AA5-AD5)</f>
        <v>525.95000000666664</v>
      </c>
      <c r="AF5" s="20">
        <v>62</v>
      </c>
      <c r="AG5" s="23">
        <v>93</v>
      </c>
      <c r="AH5" s="20">
        <v>12129</v>
      </c>
      <c r="AI5" s="20">
        <v>10242.780000000001</v>
      </c>
      <c r="AJ5" s="24">
        <f t="shared" si="0"/>
        <v>1886.2199999999993</v>
      </c>
      <c r="AK5" s="25">
        <f t="shared" si="1"/>
        <v>0.18415117770761447</v>
      </c>
      <c r="AL5" s="26">
        <f ca="1">IFERROR(__xludf.DUMMYFUNCTION("IF(AG20 = 99999, 99999, IF(AND(AG20 &lt;&gt; """", AI20 &lt;&gt; """"), RANK(AI20, FILTER(AI:AI, AG:AG &lt;&gt; 99999), 1), """"))
"),90)</f>
        <v>90</v>
      </c>
      <c r="AM5">
        <f t="shared" si="2"/>
        <v>1</v>
      </c>
      <c r="AN5">
        <f t="shared" si="3"/>
        <v>1</v>
      </c>
    </row>
    <row r="6" spans="1:42" ht="13" x14ac:dyDescent="0.15">
      <c r="A6" s="19">
        <v>163</v>
      </c>
      <c r="B6" s="20" t="s">
        <v>90</v>
      </c>
      <c r="C6" s="21" t="s">
        <v>44</v>
      </c>
      <c r="D6" s="22">
        <v>15</v>
      </c>
      <c r="E6" s="22">
        <v>15</v>
      </c>
      <c r="F6" s="22">
        <v>15</v>
      </c>
      <c r="G6" s="22">
        <v>10</v>
      </c>
      <c r="H6" s="31">
        <f>SUM(D6:G6)</f>
        <v>55</v>
      </c>
      <c r="I6" s="22">
        <v>35</v>
      </c>
      <c r="J6" s="22">
        <v>0</v>
      </c>
      <c r="K6" s="22">
        <v>23.333333329999999</v>
      </c>
      <c r="L6" s="22">
        <v>58.666666669999998</v>
      </c>
      <c r="M6" s="32">
        <f>SUM(J6:L6)-I6</f>
        <v>47</v>
      </c>
      <c r="N6" s="22">
        <v>99</v>
      </c>
      <c r="O6" s="22">
        <v>109</v>
      </c>
      <c r="P6" s="33">
        <f>SUM(N6:O6)</f>
        <v>208</v>
      </c>
      <c r="Q6" s="22">
        <v>10000</v>
      </c>
      <c r="R6" s="22">
        <v>11907</v>
      </c>
      <c r="S6" s="22">
        <f>R6-Q6</f>
        <v>1907</v>
      </c>
      <c r="T6" s="22">
        <f>S6/Q6</f>
        <v>0.19070000000000001</v>
      </c>
      <c r="U6" s="34">
        <f>IF(AND(Q6 &lt;&gt; "", R6 &lt;&gt; ""), MAX(0, IF(Q6 &gt; 0, 350 - ((350 / (0.3 * Q6)) * ABS(Q6 - R6)), 0)), "")</f>
        <v>127.51666666666665</v>
      </c>
      <c r="V6" s="20" t="s">
        <v>47</v>
      </c>
      <c r="W6" s="22">
        <v>150</v>
      </c>
      <c r="X6" s="35">
        <f>IF(OR(U6 &lt;&gt; "", W6&lt;&gt; ""),U6  + W6, "0")</f>
        <v>277.51666666666665</v>
      </c>
      <c r="Y6" s="22"/>
      <c r="Z6" s="22">
        <v>0</v>
      </c>
      <c r="AA6" s="28">
        <f>Z6+Y6</f>
        <v>0</v>
      </c>
      <c r="AD6" s="29">
        <f>AB6+AC6</f>
        <v>0</v>
      </c>
      <c r="AE6" s="22">
        <f>MAX(0, H6+M6+P6+X6+AA6-AD6)</f>
        <v>587.51666666666665</v>
      </c>
      <c r="AF6" s="20">
        <v>57</v>
      </c>
      <c r="AG6" s="23">
        <v>86</v>
      </c>
      <c r="AH6" s="20">
        <v>11907</v>
      </c>
      <c r="AI6" s="20">
        <v>10226</v>
      </c>
      <c r="AJ6" s="24">
        <f t="shared" si="0"/>
        <v>1681</v>
      </c>
      <c r="AK6" s="25">
        <f t="shared" si="1"/>
        <v>0.16438490123215332</v>
      </c>
      <c r="AL6" s="26">
        <f ca="1">IFERROR(__xludf.DUMMYFUNCTION("IF(AG23 = 99999, 99999, IF(AND(AG23 &lt;&gt; """", AI23 &lt;&gt; """"), RANK(AI23, FILTER(AI:AI, AG:AG &lt;&gt; 99999), 1), """"))
"),76)</f>
        <v>76</v>
      </c>
      <c r="AM6">
        <f t="shared" si="2"/>
        <v>1</v>
      </c>
      <c r="AN6">
        <f t="shared" si="3"/>
        <v>1</v>
      </c>
    </row>
    <row r="7" spans="1:42" ht="13" x14ac:dyDescent="0.15">
      <c r="A7" s="19">
        <v>115</v>
      </c>
      <c r="B7" s="20" t="s">
        <v>58</v>
      </c>
      <c r="C7" s="21" t="s">
        <v>44</v>
      </c>
      <c r="D7" s="22">
        <v>15</v>
      </c>
      <c r="E7" s="22">
        <v>15</v>
      </c>
      <c r="F7" s="22">
        <v>15</v>
      </c>
      <c r="G7" s="22">
        <v>15</v>
      </c>
      <c r="H7" s="31">
        <f>SUM(D7:G7)</f>
        <v>60</v>
      </c>
      <c r="I7" s="22">
        <v>30</v>
      </c>
      <c r="J7" s="22">
        <v>20</v>
      </c>
      <c r="K7" s="22">
        <v>37.666666669999998</v>
      </c>
      <c r="L7" s="22">
        <v>132.33333329999999</v>
      </c>
      <c r="M7" s="32">
        <f>SUM(J7:L7)-I7</f>
        <v>159.99999996999998</v>
      </c>
      <c r="N7" s="22">
        <v>100</v>
      </c>
      <c r="O7" s="22">
        <v>100</v>
      </c>
      <c r="P7" s="33">
        <f>SUM(N7:O7)</f>
        <v>200</v>
      </c>
      <c r="Q7" s="22">
        <v>10000</v>
      </c>
      <c r="R7" s="22">
        <v>11494</v>
      </c>
      <c r="S7" s="22">
        <f>R7-Q7</f>
        <v>1494</v>
      </c>
      <c r="T7" s="22">
        <f>S7/Q7</f>
        <v>0.14940000000000001</v>
      </c>
      <c r="U7" s="34">
        <f>IF(AND(Q7 &lt;&gt; "", R7 &lt;&gt; ""), MAX(0, IF(Q7 &gt; 0, 350 - ((350 / (0.3 * Q7)) * ABS(Q7 - R7)), 0)), "")</f>
        <v>175.7</v>
      </c>
      <c r="V7" s="20" t="s">
        <v>45</v>
      </c>
      <c r="W7" s="22">
        <v>150</v>
      </c>
      <c r="X7" s="35">
        <f>IF(OR(U7 &lt;&gt; "", W7&lt;&gt; ""),U7  + W7, "0")</f>
        <v>325.7</v>
      </c>
      <c r="Y7" s="22">
        <v>15</v>
      </c>
      <c r="Z7" s="22">
        <v>0</v>
      </c>
      <c r="AA7" s="28">
        <f>Z7+Y7</f>
        <v>15</v>
      </c>
      <c r="AD7" s="29">
        <f>AB7+AC7</f>
        <v>0</v>
      </c>
      <c r="AE7" s="22">
        <f>MAX(0, H7+M7+P7+X7+AA7-AD7)</f>
        <v>760.69999996999991</v>
      </c>
      <c r="AF7" s="20">
        <v>34</v>
      </c>
      <c r="AG7" s="23">
        <v>51</v>
      </c>
      <c r="AH7" s="20">
        <v>11494</v>
      </c>
      <c r="AI7" s="20">
        <v>11068</v>
      </c>
      <c r="AJ7" s="24">
        <f t="shared" si="0"/>
        <v>426</v>
      </c>
      <c r="AK7" s="25">
        <f t="shared" si="1"/>
        <v>3.8489338633899528E-2</v>
      </c>
      <c r="AL7" s="26" t="str">
        <f ca="1">IFERROR(__xludf.DUMMYFUNCTION("IF(AG24 = 99999, 99999, IF(AND(AG24 &lt;&gt; """", AI24 &lt;&gt; """"), RANK(AI24, FILTER(AI:AI, AG:AG &lt;&gt; 99999), 1), """"))
"),"")</f>
        <v/>
      </c>
      <c r="AM7">
        <f t="shared" si="2"/>
        <v>1</v>
      </c>
      <c r="AN7">
        <f t="shared" si="3"/>
        <v>1</v>
      </c>
    </row>
    <row r="8" spans="1:42" ht="13" x14ac:dyDescent="0.15">
      <c r="A8" s="19">
        <v>409</v>
      </c>
      <c r="B8" s="20" t="s">
        <v>142</v>
      </c>
      <c r="C8" s="21" t="s">
        <v>44</v>
      </c>
      <c r="D8" s="22">
        <v>15</v>
      </c>
      <c r="E8" s="22">
        <v>15</v>
      </c>
      <c r="F8" s="22">
        <v>15</v>
      </c>
      <c r="G8" s="22">
        <v>15</v>
      </c>
      <c r="H8" s="31">
        <f>SUM(D8:G8)</f>
        <v>60</v>
      </c>
      <c r="I8" s="22">
        <v>5</v>
      </c>
      <c r="J8" s="22">
        <v>20</v>
      </c>
      <c r="K8" s="22">
        <v>38</v>
      </c>
      <c r="L8" s="22">
        <v>136.66666670000001</v>
      </c>
      <c r="M8" s="32">
        <f>SUM(J8:L8)-I8</f>
        <v>189.66666670000001</v>
      </c>
      <c r="N8" s="22">
        <v>120</v>
      </c>
      <c r="O8" s="22">
        <v>118</v>
      </c>
      <c r="P8" s="33">
        <f>SUM(N8:O8)</f>
        <v>238</v>
      </c>
      <c r="Q8" s="22">
        <v>10000</v>
      </c>
      <c r="R8" s="22">
        <v>11090</v>
      </c>
      <c r="S8" s="22">
        <f>R8-Q8</f>
        <v>1090</v>
      </c>
      <c r="T8" s="22">
        <f>S8/Q8</f>
        <v>0.109</v>
      </c>
      <c r="U8" s="34">
        <f>IF(AND(Q8 &lt;&gt; "", R8 &lt;&gt; ""), MAX(0, IF(Q8 &gt; 0, 350 - ((350 / (0.3 * Q8)) * ABS(Q8 - R8)), 0)), "")</f>
        <v>222.83333333333331</v>
      </c>
      <c r="V8" s="20" t="s">
        <v>45</v>
      </c>
      <c r="W8" s="22">
        <v>150</v>
      </c>
      <c r="X8" s="35">
        <f>IF(OR(U8 &lt;&gt; "", W8&lt;&gt; ""),U8  + W8, "0")</f>
        <v>372.83333333333331</v>
      </c>
      <c r="Y8" s="22"/>
      <c r="Z8" s="22">
        <v>50</v>
      </c>
      <c r="AA8" s="28">
        <f>Z8+Y8</f>
        <v>50</v>
      </c>
      <c r="AD8" s="29">
        <f>AB8+AC8</f>
        <v>0</v>
      </c>
      <c r="AE8" s="22">
        <f>MAX(0, H8+M8+P8+X8+AA8-AD8)</f>
        <v>910.50000003333332</v>
      </c>
      <c r="AF8" s="20">
        <v>15</v>
      </c>
      <c r="AG8" s="23">
        <v>18</v>
      </c>
      <c r="AH8" s="20">
        <v>11090</v>
      </c>
      <c r="AI8" s="20">
        <v>10091</v>
      </c>
      <c r="AJ8" s="24">
        <f t="shared" si="0"/>
        <v>999</v>
      </c>
      <c r="AK8" s="25">
        <f t="shared" si="1"/>
        <v>9.8999108116143097E-2</v>
      </c>
      <c r="AL8" s="26" t="str">
        <f ca="1">IFERROR(__xludf.DUMMYFUNCTION("IF(AG25 = 99999, 99999, IF(AND(AG25 &lt;&gt; """", AI25 &lt;&gt; """"), RANK(AI25, FILTER(AI:AI, AG:AG &lt;&gt; 99999), 1), """"))
"),"")</f>
        <v/>
      </c>
      <c r="AM8">
        <f t="shared" si="2"/>
        <v>1</v>
      </c>
      <c r="AN8">
        <f t="shared" si="3"/>
        <v>1</v>
      </c>
    </row>
    <row r="9" spans="1:42" ht="13" x14ac:dyDescent="0.15">
      <c r="A9" s="19">
        <v>181</v>
      </c>
      <c r="B9" s="20" t="s">
        <v>104</v>
      </c>
      <c r="C9" s="21" t="s">
        <v>44</v>
      </c>
      <c r="D9" s="22">
        <v>15</v>
      </c>
      <c r="E9" s="22">
        <v>15</v>
      </c>
      <c r="F9" s="22">
        <v>15</v>
      </c>
      <c r="G9" s="22">
        <v>15</v>
      </c>
      <c r="H9" s="31">
        <f>SUM(D9:G9)</f>
        <v>60</v>
      </c>
      <c r="I9" s="22">
        <v>10</v>
      </c>
      <c r="J9" s="22">
        <v>20</v>
      </c>
      <c r="K9" s="22">
        <v>29.5</v>
      </c>
      <c r="L9" s="22">
        <v>114</v>
      </c>
      <c r="M9" s="32">
        <f>SUM(J9:L9)-I9</f>
        <v>153.5</v>
      </c>
      <c r="N9" s="22">
        <v>105</v>
      </c>
      <c r="O9" s="22">
        <v>72</v>
      </c>
      <c r="P9" s="33">
        <f>SUM(N9:O9)</f>
        <v>177</v>
      </c>
      <c r="Q9" s="22">
        <v>10000</v>
      </c>
      <c r="R9" s="22">
        <v>11065</v>
      </c>
      <c r="S9" s="22">
        <f>R9-Q9</f>
        <v>1065</v>
      </c>
      <c r="T9" s="22">
        <f>S9/Q9</f>
        <v>0.1065</v>
      </c>
      <c r="U9" s="34">
        <f>IF(AND(Q9 &lt;&gt; "", R9 &lt;&gt; ""), MAX(0, IF(Q9 &gt; 0, 350 - ((350 / (0.3 * Q9)) * ABS(Q9 - R9)), 0)), "")</f>
        <v>225.75</v>
      </c>
      <c r="V9" s="20" t="s">
        <v>45</v>
      </c>
      <c r="W9" s="22">
        <v>150</v>
      </c>
      <c r="X9" s="35">
        <f>IF(OR(U9 &lt;&gt; "", W9&lt;&gt; ""),U9  + W9, "0")</f>
        <v>375.75</v>
      </c>
      <c r="Y9" s="22"/>
      <c r="Z9" s="22">
        <v>0</v>
      </c>
      <c r="AA9" s="28">
        <f>Z9+Y9</f>
        <v>0</v>
      </c>
      <c r="AD9" s="29">
        <f>AB9+AC9</f>
        <v>0</v>
      </c>
      <c r="AE9" s="22">
        <f>MAX(0, H9+M9+P9+X9+AA9-AD9)</f>
        <v>766.25</v>
      </c>
      <c r="AF9" s="20">
        <v>33</v>
      </c>
      <c r="AG9" s="23">
        <v>49</v>
      </c>
      <c r="AH9" s="20">
        <v>11065</v>
      </c>
      <c r="AI9" s="20">
        <v>10954</v>
      </c>
      <c r="AJ9" s="24">
        <f t="shared" si="0"/>
        <v>111</v>
      </c>
      <c r="AK9" s="25">
        <f t="shared" si="1"/>
        <v>1.0133284644878584E-2</v>
      </c>
      <c r="AL9" s="26">
        <f ca="1">IFERROR(__xludf.DUMMYFUNCTION("IF(AG26 = 99999, 99999, IF(AND(AG26 &lt;&gt; """", AI26 &lt;&gt; """"), RANK(AI26, FILTER(AI:AI, AG:AG &lt;&gt; 99999), 1), """"))
"),85)</f>
        <v>85</v>
      </c>
      <c r="AM9">
        <f t="shared" si="2"/>
        <v>1</v>
      </c>
      <c r="AN9">
        <f t="shared" si="3"/>
        <v>1</v>
      </c>
    </row>
    <row r="10" spans="1:42" ht="13" x14ac:dyDescent="0.15">
      <c r="A10" s="19">
        <v>133</v>
      </c>
      <c r="B10" s="20" t="s">
        <v>70</v>
      </c>
      <c r="C10" s="21" t="s">
        <v>44</v>
      </c>
      <c r="D10" s="22">
        <v>15</v>
      </c>
      <c r="E10" s="22">
        <v>15</v>
      </c>
      <c r="F10" s="22">
        <v>15</v>
      </c>
      <c r="G10" s="22">
        <v>15</v>
      </c>
      <c r="H10" s="31">
        <f>SUM(D10:G10)</f>
        <v>60</v>
      </c>
      <c r="I10" s="22">
        <v>0</v>
      </c>
      <c r="J10" s="22">
        <v>19.5</v>
      </c>
      <c r="K10" s="22">
        <v>37.5</v>
      </c>
      <c r="L10" s="22">
        <v>71</v>
      </c>
      <c r="M10" s="32">
        <f>SUM(J10:L10)-I10</f>
        <v>128</v>
      </c>
      <c r="N10" s="22">
        <v>70</v>
      </c>
      <c r="O10" s="22">
        <v>81</v>
      </c>
      <c r="P10" s="33">
        <f>SUM(N10:O10)</f>
        <v>151</v>
      </c>
      <c r="Q10" s="22">
        <v>10000</v>
      </c>
      <c r="R10" s="22">
        <v>11005</v>
      </c>
      <c r="S10" s="22">
        <f>R10-Q10</f>
        <v>1005</v>
      </c>
      <c r="T10" s="22">
        <f>S10/Q10</f>
        <v>0.10050000000000001</v>
      </c>
      <c r="U10" s="34">
        <f>IF(AND(Q10 &lt;&gt; "", R10 &lt;&gt; ""), MAX(0, IF(Q10 &gt; 0, 350 - ((350 / (0.3 * Q10)) * ABS(Q10 - R10)), 0)), "")</f>
        <v>232.75</v>
      </c>
      <c r="V10" s="20" t="s">
        <v>47</v>
      </c>
      <c r="W10" s="22">
        <v>150</v>
      </c>
      <c r="X10" s="35">
        <f>IF(OR(U10 &lt;&gt; "", W10&lt;&gt; ""),U10  + W10, "0")</f>
        <v>382.75</v>
      </c>
      <c r="Y10" s="22"/>
      <c r="Z10" s="22">
        <v>0</v>
      </c>
      <c r="AA10" s="28">
        <f>Z10+Y10</f>
        <v>0</v>
      </c>
      <c r="AD10" s="29">
        <f>AB10+AC10</f>
        <v>0</v>
      </c>
      <c r="AE10" s="22">
        <f>MAX(0, H10+M10+P10+X10+AA10-AD10)</f>
        <v>721.75</v>
      </c>
      <c r="AF10" s="20">
        <v>39</v>
      </c>
      <c r="AG10" s="23">
        <v>58</v>
      </c>
      <c r="AH10" s="20">
        <v>11005</v>
      </c>
      <c r="AI10" s="20">
        <v>10100</v>
      </c>
      <c r="AJ10" s="24">
        <f t="shared" si="0"/>
        <v>905</v>
      </c>
      <c r="AK10" s="25">
        <f t="shared" si="1"/>
        <v>8.96039603960396E-2</v>
      </c>
      <c r="AL10" s="26">
        <f ca="1">IFERROR(__xludf.DUMMYFUNCTION("IF(AG27 = 99999, 99999, IF(AND(AG27 &lt;&gt; """", AI27 &lt;&gt; """"), RANK(AI27, FILTER(AI:AI, AG:AG &lt;&gt; 99999), 1), """"))
"),43)</f>
        <v>43</v>
      </c>
      <c r="AM10">
        <f t="shared" si="2"/>
        <v>1</v>
      </c>
      <c r="AN10">
        <f t="shared" si="3"/>
        <v>1</v>
      </c>
    </row>
    <row r="11" spans="1:42" ht="13" x14ac:dyDescent="0.15">
      <c r="A11" s="19">
        <v>191</v>
      </c>
      <c r="B11" s="20" t="s">
        <v>110</v>
      </c>
      <c r="C11" s="21" t="s">
        <v>44</v>
      </c>
      <c r="D11" s="22">
        <v>15</v>
      </c>
      <c r="E11" s="22">
        <v>15</v>
      </c>
      <c r="F11" s="22">
        <v>15</v>
      </c>
      <c r="G11" s="22">
        <v>0</v>
      </c>
      <c r="H11" s="31">
        <f>SUM(D11:G11)</f>
        <v>45</v>
      </c>
      <c r="I11" s="22">
        <v>200</v>
      </c>
      <c r="J11" s="22">
        <v>20</v>
      </c>
      <c r="K11" s="22">
        <v>33</v>
      </c>
      <c r="L11" s="22">
        <v>122</v>
      </c>
      <c r="M11" s="32">
        <f>SUM(J11:L11)-I11</f>
        <v>-25</v>
      </c>
      <c r="N11" s="22">
        <v>80</v>
      </c>
      <c r="O11" s="22">
        <v>94</v>
      </c>
      <c r="P11" s="33">
        <f>SUM(N11:O11)</f>
        <v>174</v>
      </c>
      <c r="Q11" s="22">
        <v>10000</v>
      </c>
      <c r="R11" s="22">
        <v>10980</v>
      </c>
      <c r="S11" s="22">
        <f>R11-Q11</f>
        <v>980</v>
      </c>
      <c r="T11" s="22">
        <f>S11/Q11</f>
        <v>9.8000000000000004E-2</v>
      </c>
      <c r="U11" s="34">
        <f>IF(AND(Q11 &lt;&gt; "", R11 &lt;&gt; ""), MAX(0, IF(Q11 &gt; 0, 350 - ((350 / (0.3 * Q11)) * ABS(Q11 - R11)), 0)), "")</f>
        <v>235.66666666666669</v>
      </c>
      <c r="V11" s="20" t="s">
        <v>45</v>
      </c>
      <c r="W11" s="22">
        <v>150</v>
      </c>
      <c r="X11" s="35">
        <f>IF(OR(U11 &lt;&gt; "", W11&lt;&gt; ""),U11  + W11, "0")</f>
        <v>385.66666666666669</v>
      </c>
      <c r="Y11" s="22"/>
      <c r="Z11" s="22">
        <v>50</v>
      </c>
      <c r="AA11" s="28">
        <f>Z11+Y11</f>
        <v>50</v>
      </c>
      <c r="AD11" s="29">
        <f>AB11+AC11</f>
        <v>0</v>
      </c>
      <c r="AE11" s="22">
        <f>MAX(0, H11+M11+P11+X11+AA11-AD11)</f>
        <v>629.66666666666674</v>
      </c>
      <c r="AF11" s="20">
        <v>52</v>
      </c>
      <c r="AG11" s="23">
        <v>78</v>
      </c>
      <c r="AH11" s="20">
        <v>10980</v>
      </c>
      <c r="AI11" s="20">
        <v>11573</v>
      </c>
      <c r="AJ11" s="24">
        <f t="shared" si="0"/>
        <v>593</v>
      </c>
      <c r="AK11" s="25">
        <f t="shared" si="1"/>
        <v>5.1239955067830294E-2</v>
      </c>
      <c r="AL11" s="26" t="str">
        <f ca="1">IFERROR(__xludf.DUMMYFUNCTION("IF(AG28 = 99999, 99999, IF(AND(AG28 &lt;&gt; """", AI28 &lt;&gt; """"), RANK(AI28, FILTER(AI:AI, AG:AG &lt;&gt; 99999), 1), """"))
"),"")</f>
        <v/>
      </c>
      <c r="AM11">
        <f t="shared" si="2"/>
        <v>1</v>
      </c>
      <c r="AN11">
        <f t="shared" si="3"/>
        <v>1</v>
      </c>
    </row>
    <row r="12" spans="1:42" ht="13" x14ac:dyDescent="0.15">
      <c r="A12" s="19">
        <v>169</v>
      </c>
      <c r="B12" s="20" t="s">
        <v>94</v>
      </c>
      <c r="C12" s="21" t="s">
        <v>44</v>
      </c>
      <c r="D12" s="22">
        <v>15</v>
      </c>
      <c r="E12" s="22">
        <v>0</v>
      </c>
      <c r="F12" s="22">
        <v>15</v>
      </c>
      <c r="G12" s="22">
        <v>15</v>
      </c>
      <c r="H12" s="31">
        <f>SUM(D12:G12)</f>
        <v>45</v>
      </c>
      <c r="I12" s="22">
        <v>30</v>
      </c>
      <c r="J12" s="22">
        <v>6.6666666670000003</v>
      </c>
      <c r="K12" s="22">
        <v>21</v>
      </c>
      <c r="L12" s="22">
        <v>69.333333330000002</v>
      </c>
      <c r="M12" s="32">
        <f>SUM(J12:L12)-I12</f>
        <v>66.999999997000003</v>
      </c>
      <c r="N12" s="22">
        <v>60</v>
      </c>
      <c r="O12" s="22">
        <v>76</v>
      </c>
      <c r="P12" s="33">
        <f>SUM(N12:O12)</f>
        <v>136</v>
      </c>
      <c r="Q12" s="22">
        <v>10000</v>
      </c>
      <c r="R12" s="22">
        <v>10922</v>
      </c>
      <c r="S12" s="22">
        <f>R12-Q12</f>
        <v>922</v>
      </c>
      <c r="T12" s="22">
        <f>S12/Q12</f>
        <v>9.2200000000000004E-2</v>
      </c>
      <c r="U12" s="34">
        <f>IF(AND(Q12 &lt;&gt; "", R12 &lt;&gt; ""), MAX(0, IF(Q12 &gt; 0, 350 - ((350 / (0.3 * Q12)) * ABS(Q12 - R12)), 0)), "")</f>
        <v>242.43333333333334</v>
      </c>
      <c r="V12" s="20" t="s">
        <v>45</v>
      </c>
      <c r="W12" s="22">
        <v>150</v>
      </c>
      <c r="X12" s="35">
        <f>IF(OR(U12 &lt;&gt; "", W12&lt;&gt; ""),U12  + W12, "0")</f>
        <v>392.43333333333334</v>
      </c>
      <c r="Y12" s="22"/>
      <c r="Z12" s="22">
        <v>0</v>
      </c>
      <c r="AA12" s="28">
        <f>Z12+Y12</f>
        <v>0</v>
      </c>
      <c r="AD12" s="29">
        <f>AB12+AC12</f>
        <v>0</v>
      </c>
      <c r="AE12" s="22">
        <f>MAX(0, H12+M12+P12+X12+AA12-AD12)</f>
        <v>640.43333333033331</v>
      </c>
      <c r="AF12" s="20">
        <v>51</v>
      </c>
      <c r="AG12" s="23">
        <v>76</v>
      </c>
      <c r="AH12" s="20">
        <v>10922</v>
      </c>
      <c r="AI12" s="20">
        <v>11357</v>
      </c>
      <c r="AJ12" s="24">
        <f t="shared" si="0"/>
        <v>435</v>
      </c>
      <c r="AK12" s="25">
        <f t="shared" si="1"/>
        <v>3.8302368583252616E-2</v>
      </c>
      <c r="AL12" s="26">
        <f ca="1">IFERROR(__xludf.DUMMYFUNCTION("IF(AG29 = 99999, 99999, IF(AND(AG29 &lt;&gt; """", AI29 &lt;&gt; """"), RANK(AI29, FILTER(AI:AI, AG:AG &lt;&gt; 99999), 1), """"))
"),1)</f>
        <v>1</v>
      </c>
      <c r="AM12">
        <f t="shared" si="2"/>
        <v>1</v>
      </c>
      <c r="AN12">
        <f t="shared" si="3"/>
        <v>1</v>
      </c>
    </row>
    <row r="13" spans="1:42" ht="13" x14ac:dyDescent="0.15">
      <c r="A13" s="19">
        <v>103</v>
      </c>
      <c r="B13" s="20" t="s">
        <v>49</v>
      </c>
      <c r="C13" s="21" t="s">
        <v>44</v>
      </c>
      <c r="D13" s="22">
        <v>15</v>
      </c>
      <c r="E13" s="22">
        <v>15</v>
      </c>
      <c r="F13" s="22">
        <v>15</v>
      </c>
      <c r="G13" s="22">
        <v>15</v>
      </c>
      <c r="H13" s="31">
        <f>SUM(D13:G13)</f>
        <v>60</v>
      </c>
      <c r="I13" s="22">
        <v>5</v>
      </c>
      <c r="J13" s="22">
        <v>20</v>
      </c>
      <c r="K13" s="22">
        <v>30</v>
      </c>
      <c r="L13" s="22">
        <v>63</v>
      </c>
      <c r="M13" s="32">
        <f>SUM(J13:L13)-I13</f>
        <v>108</v>
      </c>
      <c r="N13" s="22">
        <v>82</v>
      </c>
      <c r="O13" s="22">
        <v>98</v>
      </c>
      <c r="P13" s="33">
        <f>SUM(N13:O13)</f>
        <v>180</v>
      </c>
      <c r="Q13" s="22">
        <v>10000</v>
      </c>
      <c r="R13" s="22">
        <v>10860</v>
      </c>
      <c r="S13" s="22">
        <f>R13-Q13</f>
        <v>860</v>
      </c>
      <c r="T13" s="22">
        <f>S13/Q13</f>
        <v>8.5999999999999993E-2</v>
      </c>
      <c r="U13" s="34">
        <f>IF(AND(Q13 &lt;&gt; "", R13 &lt;&gt; ""), MAX(0, IF(Q13 &gt; 0, 350 - ((350 / (0.3 * Q13)) * ABS(Q13 - R13)), 0)), "")</f>
        <v>249.66666666666669</v>
      </c>
      <c r="V13" s="20" t="s">
        <v>45</v>
      </c>
      <c r="W13" s="22">
        <v>150</v>
      </c>
      <c r="X13" s="35">
        <f>IF(OR(U13 &lt;&gt; "", W13&lt;&gt; ""),U13  + W13, "0")</f>
        <v>399.66666666666669</v>
      </c>
      <c r="Y13" s="22"/>
      <c r="Z13" s="22">
        <v>0</v>
      </c>
      <c r="AA13" s="28">
        <f>Z13+Y13</f>
        <v>0</v>
      </c>
      <c r="AD13" s="29">
        <f>AB13+AC13</f>
        <v>0</v>
      </c>
      <c r="AE13" s="22">
        <f>MAX(0, H13+M13+P13+X13+AA13-AD13)</f>
        <v>747.66666666666674</v>
      </c>
      <c r="AF13" s="20">
        <v>37</v>
      </c>
      <c r="AG13" s="23">
        <v>54</v>
      </c>
      <c r="AH13" s="20">
        <v>10860</v>
      </c>
      <c r="AI13" s="20">
        <v>11035</v>
      </c>
      <c r="AJ13" s="24">
        <f t="shared" si="0"/>
        <v>175</v>
      </c>
      <c r="AK13" s="25">
        <f t="shared" si="1"/>
        <v>1.58586316266425E-2</v>
      </c>
      <c r="AL13" s="26">
        <f ca="1">IFERROR(__xludf.DUMMYFUNCTION("IF(AG30 = 99999, 99999, IF(AND(AG30 &lt;&gt; """", AI30 &lt;&gt; """"), RANK(AI30, FILTER(AI:AI, AG:AG &lt;&gt; 99999), 1), """"))
"),16)</f>
        <v>16</v>
      </c>
      <c r="AM13">
        <f t="shared" si="2"/>
        <v>1</v>
      </c>
      <c r="AN13">
        <f t="shared" si="3"/>
        <v>1</v>
      </c>
    </row>
    <row r="14" spans="1:42" ht="13" x14ac:dyDescent="0.15">
      <c r="A14" s="19">
        <v>174</v>
      </c>
      <c r="B14" s="20" t="s">
        <v>99</v>
      </c>
      <c r="C14" s="21" t="s">
        <v>44</v>
      </c>
      <c r="D14" s="22">
        <v>15</v>
      </c>
      <c r="E14" s="22">
        <v>15</v>
      </c>
      <c r="F14" s="22">
        <v>15</v>
      </c>
      <c r="G14" s="22">
        <v>15</v>
      </c>
      <c r="H14" s="31">
        <f>SUM(D14:G14)</f>
        <v>60</v>
      </c>
      <c r="I14" s="22">
        <v>65</v>
      </c>
      <c r="J14" s="22">
        <v>0</v>
      </c>
      <c r="K14" s="22">
        <v>33.666666669999998</v>
      </c>
      <c r="L14" s="22">
        <v>108</v>
      </c>
      <c r="M14" s="32">
        <f>SUM(J14:L14)-I14</f>
        <v>76.666666669999984</v>
      </c>
      <c r="N14" s="22">
        <v>80</v>
      </c>
      <c r="O14" s="22">
        <v>115</v>
      </c>
      <c r="P14" s="33">
        <f>SUM(N14:O14)</f>
        <v>195</v>
      </c>
      <c r="Q14" s="22">
        <v>10000</v>
      </c>
      <c r="R14" s="22">
        <v>10662</v>
      </c>
      <c r="S14" s="22">
        <f>R14-Q14</f>
        <v>662</v>
      </c>
      <c r="T14" s="22">
        <f>S14/Q14</f>
        <v>6.6199999999999995E-2</v>
      </c>
      <c r="U14" s="34">
        <f>IF(AND(Q14 &lt;&gt; "", R14 &lt;&gt; ""), MAX(0, IF(Q14 &gt; 0, 350 - ((350 / (0.3 * Q14)) * ABS(Q14 - R14)), 0)), "")</f>
        <v>272.76666666666665</v>
      </c>
      <c r="V14" s="20" t="s">
        <v>45</v>
      </c>
      <c r="W14" s="22">
        <v>150</v>
      </c>
      <c r="X14" s="35">
        <f>IF(OR(U14 &lt;&gt; "", W14&lt;&gt; ""),U14  + W14, "0")</f>
        <v>422.76666666666665</v>
      </c>
      <c r="Y14" s="22">
        <v>15</v>
      </c>
      <c r="Z14" s="22">
        <v>50</v>
      </c>
      <c r="AA14" s="28">
        <f>Z14+Y14</f>
        <v>65</v>
      </c>
      <c r="AD14" s="29">
        <f>AB14+AC14</f>
        <v>0</v>
      </c>
      <c r="AE14" s="22">
        <f>MAX(0, H14+M14+P14+X14+AA14-AD14)</f>
        <v>819.43333333666669</v>
      </c>
      <c r="AF14" s="20">
        <v>26</v>
      </c>
      <c r="AG14" s="23">
        <v>41</v>
      </c>
      <c r="AH14" s="20">
        <v>10662</v>
      </c>
      <c r="AI14" s="20">
        <v>10000</v>
      </c>
      <c r="AJ14" s="24">
        <f t="shared" si="0"/>
        <v>662</v>
      </c>
      <c r="AK14" s="25">
        <f t="shared" si="1"/>
        <v>6.6199999999999995E-2</v>
      </c>
      <c r="AL14" s="26">
        <f ca="1">IFERROR(__xludf.DUMMYFUNCTION("IF(AG32 = 99999, 99999, IF(AND(AG32 &lt;&gt; """", AI32 &lt;&gt; """"), RANK(AI32, FILTER(AI:AI, AG:AG &lt;&gt; 99999), 1), """"))
"),21)</f>
        <v>21</v>
      </c>
      <c r="AM14">
        <f t="shared" si="2"/>
        <v>1</v>
      </c>
      <c r="AN14">
        <f t="shared" si="3"/>
        <v>1</v>
      </c>
    </row>
    <row r="15" spans="1:42" ht="13" x14ac:dyDescent="0.15">
      <c r="A15" s="19">
        <v>167</v>
      </c>
      <c r="B15" s="20" t="s">
        <v>92</v>
      </c>
      <c r="C15" s="21" t="s">
        <v>44</v>
      </c>
      <c r="D15" s="22">
        <v>15</v>
      </c>
      <c r="E15" s="22">
        <v>15</v>
      </c>
      <c r="F15" s="22">
        <v>0</v>
      </c>
      <c r="G15" s="22">
        <v>15</v>
      </c>
      <c r="H15" s="31">
        <f>SUM(D15:G15)</f>
        <v>45</v>
      </c>
      <c r="I15" s="22">
        <v>20</v>
      </c>
      <c r="J15" s="22">
        <v>20</v>
      </c>
      <c r="K15" s="22">
        <v>34.333333330000002</v>
      </c>
      <c r="L15" s="22">
        <v>99.666666669999998</v>
      </c>
      <c r="M15" s="32">
        <f>SUM(J15:L15)-I15</f>
        <v>134</v>
      </c>
      <c r="N15" s="22">
        <v>62</v>
      </c>
      <c r="O15" s="22">
        <v>77</v>
      </c>
      <c r="P15" s="33">
        <f>SUM(N15:O15)</f>
        <v>139</v>
      </c>
      <c r="Q15" s="22">
        <v>10000</v>
      </c>
      <c r="R15" s="22">
        <v>10659</v>
      </c>
      <c r="S15" s="22">
        <f>R15-Q15</f>
        <v>659</v>
      </c>
      <c r="T15" s="22">
        <f>S15/Q15</f>
        <v>6.59E-2</v>
      </c>
      <c r="U15" s="34">
        <f>IF(AND(Q15 &lt;&gt; "", R15 &lt;&gt; ""), MAX(0, IF(Q15 &gt; 0, 350 - ((350 / (0.3 * Q15)) * ABS(Q15 - R15)), 0)), "")</f>
        <v>273.11666666666667</v>
      </c>
      <c r="V15" s="20" t="s">
        <v>48</v>
      </c>
      <c r="W15" s="22"/>
      <c r="X15" s="35">
        <f>IF(OR(U15 &lt;&gt; "", W15&lt;&gt; ""),U15  + W15, "0")</f>
        <v>273.11666666666667</v>
      </c>
      <c r="Y15" s="22"/>
      <c r="Z15" s="22">
        <v>50</v>
      </c>
      <c r="AA15" s="28">
        <f>Z15+Y15</f>
        <v>50</v>
      </c>
      <c r="AD15" s="29">
        <f>AB15+AC15</f>
        <v>0</v>
      </c>
      <c r="AE15" s="22">
        <f>MAX(0, H15+M15+P15+X15+AA15-AD15)</f>
        <v>641.11666666666667</v>
      </c>
      <c r="AF15" s="20">
        <v>50</v>
      </c>
      <c r="AG15" s="23">
        <v>79</v>
      </c>
      <c r="AH15" s="20">
        <v>10659</v>
      </c>
      <c r="AI15" s="20">
        <v>9868.77</v>
      </c>
      <c r="AJ15" s="24">
        <f t="shared" si="0"/>
        <v>790.22999999999956</v>
      </c>
      <c r="AK15" s="25">
        <f t="shared" si="1"/>
        <v>8.0073808590128207E-2</v>
      </c>
      <c r="AL15" s="26">
        <f ca="1">IFERROR(__xludf.DUMMYFUNCTION("IF(AG33 = 99999, 99999, IF(AND(AG33 &lt;&gt; """", AI33 &lt;&gt; """"), RANK(AI33, FILTER(AI:AI, AG:AG &lt;&gt; 99999), 1), """"))
"),55)</f>
        <v>55</v>
      </c>
      <c r="AM15">
        <f t="shared" si="2"/>
        <v>0</v>
      </c>
      <c r="AN15">
        <f t="shared" si="3"/>
        <v>1</v>
      </c>
    </row>
    <row r="16" spans="1:42" ht="13" x14ac:dyDescent="0.15">
      <c r="A16" s="19">
        <v>132</v>
      </c>
      <c r="B16" s="20" t="s">
        <v>69</v>
      </c>
      <c r="C16" s="21" t="s">
        <v>44</v>
      </c>
      <c r="D16" s="22">
        <v>15</v>
      </c>
      <c r="E16" s="22">
        <v>15</v>
      </c>
      <c r="F16" s="22">
        <v>15</v>
      </c>
      <c r="G16" s="22">
        <v>0</v>
      </c>
      <c r="H16" s="31">
        <f>SUM(D16:G16)</f>
        <v>45</v>
      </c>
      <c r="I16" s="22">
        <v>205</v>
      </c>
      <c r="J16" s="22">
        <v>20</v>
      </c>
      <c r="K16" s="22">
        <v>33</v>
      </c>
      <c r="L16" s="22">
        <v>133</v>
      </c>
      <c r="M16" s="32">
        <f>SUM(J16:L16)-I16</f>
        <v>-19</v>
      </c>
      <c r="N16" s="22">
        <v>97</v>
      </c>
      <c r="O16" s="22">
        <v>91</v>
      </c>
      <c r="P16" s="33">
        <f>SUM(N16:O16)</f>
        <v>188</v>
      </c>
      <c r="Q16" s="22">
        <v>10000</v>
      </c>
      <c r="R16" s="22">
        <v>10584</v>
      </c>
      <c r="S16" s="22">
        <f>R16-Q16</f>
        <v>584</v>
      </c>
      <c r="T16" s="22">
        <f>S16/Q16</f>
        <v>5.8400000000000001E-2</v>
      </c>
      <c r="U16" s="34">
        <f>IF(AND(Q16 &lt;&gt; "", R16 &lt;&gt; ""), MAX(0, IF(Q16 &gt; 0, 350 - ((350 / (0.3 * Q16)) * ABS(Q16 - R16)), 0)), "")</f>
        <v>281.86666666666667</v>
      </c>
      <c r="V16" s="20" t="s">
        <v>48</v>
      </c>
      <c r="W16" s="22"/>
      <c r="X16" s="35">
        <f>IF(OR(U16 &lt;&gt; "", W16&lt;&gt; ""),U16  + W16, "0")</f>
        <v>281.86666666666667</v>
      </c>
      <c r="Y16" s="22"/>
      <c r="Z16" s="22">
        <v>0</v>
      </c>
      <c r="AA16" s="28">
        <f>Z16+Y16</f>
        <v>0</v>
      </c>
      <c r="AD16" s="29">
        <f>AB16+AC16</f>
        <v>0</v>
      </c>
      <c r="AE16" s="22">
        <f>MAX(0, H16+M16+P16+X16+AA16-AD16)</f>
        <v>495.86666666666667</v>
      </c>
      <c r="AF16" s="20">
        <v>63</v>
      </c>
      <c r="AG16" s="23">
        <v>99</v>
      </c>
      <c r="AH16" s="20">
        <v>10584</v>
      </c>
      <c r="AI16" s="20">
        <v>10282.15</v>
      </c>
      <c r="AJ16" s="24">
        <f t="shared" si="0"/>
        <v>301.85000000000036</v>
      </c>
      <c r="AK16" s="25">
        <f t="shared" si="1"/>
        <v>2.9356700690030817E-2</v>
      </c>
      <c r="AL16" s="26">
        <f ca="1">IFERROR(__xludf.DUMMYFUNCTION("IF(AG34 = 99999, 99999, IF(AND(AG34 &lt;&gt; """", AI34 &lt;&gt; """"), RANK(AI34, FILTER(AI:AI, AG:AG &lt;&gt; 99999), 1), """"))
"),22)</f>
        <v>22</v>
      </c>
      <c r="AM16">
        <f t="shared" si="2"/>
        <v>0</v>
      </c>
      <c r="AN16">
        <f t="shared" si="3"/>
        <v>1</v>
      </c>
    </row>
    <row r="17" spans="1:40" ht="13" x14ac:dyDescent="0.15">
      <c r="A17" s="19">
        <v>127</v>
      </c>
      <c r="B17" s="20" t="s">
        <v>66</v>
      </c>
      <c r="C17" s="21" t="s">
        <v>44</v>
      </c>
      <c r="D17" s="22">
        <v>15</v>
      </c>
      <c r="E17" s="22">
        <v>15</v>
      </c>
      <c r="F17" s="22">
        <v>15</v>
      </c>
      <c r="G17" s="22">
        <v>15</v>
      </c>
      <c r="H17" s="31">
        <f>SUM(D17:G17)</f>
        <v>60</v>
      </c>
      <c r="I17" s="22">
        <v>5</v>
      </c>
      <c r="J17" s="22">
        <v>20</v>
      </c>
      <c r="K17" s="22">
        <v>38</v>
      </c>
      <c r="L17" s="22">
        <v>104</v>
      </c>
      <c r="M17" s="32">
        <f>SUM(J17:L17)-I17</f>
        <v>157</v>
      </c>
      <c r="N17" s="22">
        <v>92</v>
      </c>
      <c r="O17" s="22">
        <v>107</v>
      </c>
      <c r="P17" s="33">
        <f>SUM(N17:O17)</f>
        <v>199</v>
      </c>
      <c r="Q17" s="22">
        <v>10000</v>
      </c>
      <c r="R17" s="22">
        <v>10567</v>
      </c>
      <c r="S17" s="22">
        <f>R17-Q17</f>
        <v>567</v>
      </c>
      <c r="T17" s="22">
        <f>S17/Q17</f>
        <v>5.67E-2</v>
      </c>
      <c r="U17" s="34">
        <f>IF(AND(Q17 &lt;&gt; "", R17 &lt;&gt; ""), MAX(0, IF(Q17 &gt; 0, 350 - ((350 / (0.3 * Q17)) * ABS(Q17 - R17)), 0)), "")</f>
        <v>283.85000000000002</v>
      </c>
      <c r="V17" s="20" t="s">
        <v>47</v>
      </c>
      <c r="W17" s="22">
        <v>150</v>
      </c>
      <c r="X17" s="35">
        <f>IF(OR(U17 &lt;&gt; "", W17&lt;&gt; ""),U17  + W17, "0")</f>
        <v>433.85</v>
      </c>
      <c r="Y17" s="22"/>
      <c r="Z17" s="22">
        <v>0</v>
      </c>
      <c r="AA17" s="28">
        <f>Z17+Y17</f>
        <v>0</v>
      </c>
      <c r="AD17" s="29">
        <f>AB17+AC17</f>
        <v>0</v>
      </c>
      <c r="AE17" s="22">
        <f>MAX(0, H17+M17+P17+X17+AA17-AD17)</f>
        <v>849.85</v>
      </c>
      <c r="AF17" s="20">
        <v>24</v>
      </c>
      <c r="AG17" s="23">
        <v>39</v>
      </c>
      <c r="AH17" s="20">
        <v>10567</v>
      </c>
      <c r="AI17" s="20">
        <v>10014</v>
      </c>
      <c r="AJ17" s="24">
        <f t="shared" si="0"/>
        <v>553</v>
      </c>
      <c r="AK17" s="25">
        <f t="shared" si="1"/>
        <v>5.5222688236468941E-2</v>
      </c>
      <c r="AL17" s="26">
        <f ca="1">IFERROR(__xludf.DUMMYFUNCTION("IF(AG36 = 99999, 99999, IF(AND(AG36 &lt;&gt; """", AI36 &lt;&gt; """"), RANK(AI36, FILTER(AI:AI, AG:AG &lt;&gt; 99999), 1), """"))
"),99)</f>
        <v>99</v>
      </c>
      <c r="AM17">
        <f t="shared" si="2"/>
        <v>1</v>
      </c>
      <c r="AN17">
        <f t="shared" si="3"/>
        <v>1</v>
      </c>
    </row>
    <row r="18" spans="1:40" ht="13" x14ac:dyDescent="0.15">
      <c r="A18" s="19">
        <v>193</v>
      </c>
      <c r="B18" s="20" t="s">
        <v>111</v>
      </c>
      <c r="C18" s="21" t="s">
        <v>44</v>
      </c>
      <c r="D18" s="22">
        <v>15</v>
      </c>
      <c r="E18" s="22">
        <v>15</v>
      </c>
      <c r="F18" s="22">
        <v>15</v>
      </c>
      <c r="G18" s="22">
        <v>0</v>
      </c>
      <c r="H18" s="31">
        <f>SUM(D18:G18)</f>
        <v>45</v>
      </c>
      <c r="I18" s="22">
        <v>65</v>
      </c>
      <c r="J18" s="22">
        <v>0</v>
      </c>
      <c r="K18" s="22">
        <v>24</v>
      </c>
      <c r="L18" s="22">
        <v>99</v>
      </c>
      <c r="M18" s="32">
        <f>SUM(J18:L18)-I18</f>
        <v>58</v>
      </c>
      <c r="N18" s="22">
        <v>91</v>
      </c>
      <c r="O18" s="22">
        <v>103</v>
      </c>
      <c r="P18" s="33">
        <f>SUM(N18:O18)</f>
        <v>194</v>
      </c>
      <c r="Q18" s="22">
        <v>10000</v>
      </c>
      <c r="R18" s="22">
        <v>10533</v>
      </c>
      <c r="S18" s="22">
        <f>R18-Q18</f>
        <v>533</v>
      </c>
      <c r="T18" s="22">
        <f>S18/Q18</f>
        <v>5.33E-2</v>
      </c>
      <c r="U18" s="34">
        <f>IF(AND(Q18 &lt;&gt; "", R18 &lt;&gt; ""), MAX(0, IF(Q18 &gt; 0, 350 - ((350 / (0.3 * Q18)) * ABS(Q18 - R18)), 0)), "")</f>
        <v>287.81666666666666</v>
      </c>
      <c r="V18" s="20" t="s">
        <v>47</v>
      </c>
      <c r="W18" s="22">
        <v>150</v>
      </c>
      <c r="X18" s="35">
        <f>IF(OR(U18 &lt;&gt; "", W18&lt;&gt; ""),U18  + W18, "0")</f>
        <v>437.81666666666666</v>
      </c>
      <c r="Y18" s="22"/>
      <c r="Z18" s="22">
        <v>50</v>
      </c>
      <c r="AA18" s="28">
        <f>Z18+Y18</f>
        <v>50</v>
      </c>
      <c r="AD18" s="29">
        <f>AB18+AC18</f>
        <v>0</v>
      </c>
      <c r="AE18" s="22">
        <f>MAX(0, H18+M18+P18+X18+AA18-AD18)</f>
        <v>784.81666666666661</v>
      </c>
      <c r="AF18" s="20">
        <v>30</v>
      </c>
      <c r="AG18" s="23">
        <v>45</v>
      </c>
      <c r="AH18" s="20">
        <v>10533</v>
      </c>
      <c r="AI18" s="20">
        <v>10000</v>
      </c>
      <c r="AJ18" s="24">
        <f t="shared" si="0"/>
        <v>533</v>
      </c>
      <c r="AK18" s="25">
        <f t="shared" si="1"/>
        <v>5.33E-2</v>
      </c>
      <c r="AL18" s="26">
        <f ca="1">IFERROR(__xludf.DUMMYFUNCTION("IF(AG37 = 99999, 99999, IF(AND(AG37 &lt;&gt; """", AI37 &lt;&gt; """"), RANK(AI37, FILTER(AI:AI, AG:AG &lt;&gt; 99999), 1), """"))
"),35)</f>
        <v>35</v>
      </c>
      <c r="AM18">
        <f t="shared" si="2"/>
        <v>1</v>
      </c>
      <c r="AN18">
        <f t="shared" si="3"/>
        <v>1</v>
      </c>
    </row>
    <row r="19" spans="1:40" ht="13" x14ac:dyDescent="0.15">
      <c r="A19" s="19">
        <v>111</v>
      </c>
      <c r="B19" s="20" t="s">
        <v>55</v>
      </c>
      <c r="C19" s="21" t="s">
        <v>44</v>
      </c>
      <c r="D19" s="22">
        <v>15</v>
      </c>
      <c r="E19" s="22">
        <v>15</v>
      </c>
      <c r="F19" s="22">
        <v>15</v>
      </c>
      <c r="G19" s="22">
        <v>10</v>
      </c>
      <c r="H19" s="31">
        <f>SUM(D19:G19)</f>
        <v>55</v>
      </c>
      <c r="I19" s="22">
        <v>0</v>
      </c>
      <c r="J19" s="22">
        <v>13.33333333</v>
      </c>
      <c r="K19" s="22">
        <v>30.666666670000001</v>
      </c>
      <c r="L19" s="22">
        <v>97.333333330000002</v>
      </c>
      <c r="M19" s="32">
        <f>SUM(J19:L19)-I19</f>
        <v>141.33333333000002</v>
      </c>
      <c r="N19" s="22">
        <v>99</v>
      </c>
      <c r="O19" s="22">
        <v>111</v>
      </c>
      <c r="P19" s="33">
        <f>SUM(N19:O19)</f>
        <v>210</v>
      </c>
      <c r="Q19" s="22">
        <v>10000</v>
      </c>
      <c r="R19" s="22">
        <v>10352</v>
      </c>
      <c r="S19" s="22">
        <f>R19-Q19</f>
        <v>352</v>
      </c>
      <c r="T19" s="22">
        <f>S19/Q19</f>
        <v>3.5200000000000002E-2</v>
      </c>
      <c r="U19" s="34">
        <f>IF(AND(Q19 &lt;&gt; "", R19 &lt;&gt; ""), MAX(0, IF(Q19 &gt; 0, 350 - ((350 / (0.3 * Q19)) * ABS(Q19 - R19)), 0)), "")</f>
        <v>308.93333333333334</v>
      </c>
      <c r="V19" s="20" t="s">
        <v>45</v>
      </c>
      <c r="W19" s="22">
        <v>150</v>
      </c>
      <c r="X19" s="35">
        <f>IF(OR(U19 &lt;&gt; "", W19&lt;&gt; ""),U19  + W19, "0")</f>
        <v>458.93333333333334</v>
      </c>
      <c r="Y19" s="22"/>
      <c r="Z19" s="22">
        <v>0</v>
      </c>
      <c r="AA19" s="28">
        <f>Z19+Y19</f>
        <v>0</v>
      </c>
      <c r="AD19" s="29">
        <f>AB19+AC19</f>
        <v>0</v>
      </c>
      <c r="AE19" s="22">
        <f>MAX(0, H19+M19+P19+X19+AA19-AD19)</f>
        <v>865.26666666333335</v>
      </c>
      <c r="AF19" s="20">
        <v>21</v>
      </c>
      <c r="AG19" s="23">
        <v>34</v>
      </c>
      <c r="AH19" s="20">
        <v>10352</v>
      </c>
      <c r="AI19" s="20">
        <v>10000</v>
      </c>
      <c r="AJ19" s="24">
        <f t="shared" si="0"/>
        <v>352</v>
      </c>
      <c r="AK19" s="25">
        <f t="shared" si="1"/>
        <v>3.5200000000000002E-2</v>
      </c>
      <c r="AL19" s="26" t="str">
        <f ca="1">IFERROR(__xludf.DUMMYFUNCTION("IF(AG38 = 99999, 99999, IF(AND(AG38 &lt;&gt; """", AI38 &lt;&gt; """"), RANK(AI38, FILTER(AI:AI, AG:AG &lt;&gt; 99999), 1), """"))
"),"")</f>
        <v/>
      </c>
      <c r="AM19">
        <f t="shared" si="2"/>
        <v>1</v>
      </c>
      <c r="AN19">
        <f t="shared" si="3"/>
        <v>1</v>
      </c>
    </row>
    <row r="20" spans="1:40" ht="13" x14ac:dyDescent="0.15">
      <c r="A20" s="19">
        <v>159</v>
      </c>
      <c r="B20" s="20" t="s">
        <v>87</v>
      </c>
      <c r="C20" s="21" t="s">
        <v>44</v>
      </c>
      <c r="D20" s="22">
        <v>15</v>
      </c>
      <c r="E20" s="22">
        <v>15</v>
      </c>
      <c r="F20" s="22">
        <v>15</v>
      </c>
      <c r="G20" s="22">
        <v>15</v>
      </c>
      <c r="H20" s="31">
        <f>SUM(D20:G20)</f>
        <v>60</v>
      </c>
      <c r="I20" s="22">
        <v>5</v>
      </c>
      <c r="J20" s="22">
        <v>20</v>
      </c>
      <c r="K20" s="22">
        <v>34</v>
      </c>
      <c r="L20" s="22">
        <v>132.33333329999999</v>
      </c>
      <c r="M20" s="32">
        <f>SUM(J20:L20)-I20</f>
        <v>181.33333329999999</v>
      </c>
      <c r="N20" s="22">
        <v>104</v>
      </c>
      <c r="O20" s="22">
        <v>109</v>
      </c>
      <c r="P20" s="33">
        <f>SUM(N20:O20)</f>
        <v>213</v>
      </c>
      <c r="Q20" s="22">
        <v>10000</v>
      </c>
      <c r="R20" s="22">
        <v>10308.39</v>
      </c>
      <c r="S20" s="22">
        <f>R20-Q20</f>
        <v>308.38999999999942</v>
      </c>
      <c r="T20" s="22">
        <f>S20/Q20</f>
        <v>3.0838999999999943E-2</v>
      </c>
      <c r="U20" s="34">
        <f>IF(AND(Q20 &lt;&gt; "", R20 &lt;&gt; ""), MAX(0, IF(Q20 &gt; 0, 350 - ((350 / (0.3 * Q20)) * ABS(Q20 - R20)), 0)), "")</f>
        <v>314.02116666666672</v>
      </c>
      <c r="V20" s="20" t="s">
        <v>48</v>
      </c>
      <c r="W20" s="22"/>
      <c r="X20" s="35">
        <f>IF(OR(U20 &lt;&gt; "", W20&lt;&gt; ""),U20  + W20, "0")</f>
        <v>314.02116666666672</v>
      </c>
      <c r="Y20" s="22">
        <v>30</v>
      </c>
      <c r="Z20" s="22">
        <v>0</v>
      </c>
      <c r="AA20" s="28">
        <f>Z20+Y20</f>
        <v>30</v>
      </c>
      <c r="AD20" s="29">
        <f>AB20+AC20</f>
        <v>0</v>
      </c>
      <c r="AE20" s="22">
        <f>MAX(0, H20+M20+P20+X20+AA20-AD20)</f>
        <v>798.35449996666671</v>
      </c>
      <c r="AF20" s="20">
        <v>28</v>
      </c>
      <c r="AG20" s="23">
        <v>44</v>
      </c>
      <c r="AH20" s="20">
        <v>10308.39</v>
      </c>
      <c r="AI20" s="20">
        <v>10659.44</v>
      </c>
      <c r="AJ20" s="24">
        <f t="shared" si="0"/>
        <v>351.05000000000109</v>
      </c>
      <c r="AK20" s="25">
        <f t="shared" si="1"/>
        <v>3.2933249776723829E-2</v>
      </c>
      <c r="AL20" s="26">
        <f ca="1">IFERROR(__xludf.DUMMYFUNCTION("IF(AG40 = 99999, 99999, IF(AND(AG40 &lt;&gt; """", AI40 &lt;&gt; """"), RANK(AI40, FILTER(AI:AI, AG:AG &lt;&gt; 99999), 1), """"))
"),54)</f>
        <v>54</v>
      </c>
      <c r="AM20">
        <f t="shared" si="2"/>
        <v>0</v>
      </c>
      <c r="AN20">
        <f t="shared" si="3"/>
        <v>1</v>
      </c>
    </row>
    <row r="21" spans="1:40" ht="13" x14ac:dyDescent="0.15">
      <c r="A21" s="19">
        <v>171</v>
      </c>
      <c r="B21" s="20" t="s">
        <v>96</v>
      </c>
      <c r="C21" s="21" t="s">
        <v>44</v>
      </c>
      <c r="D21" s="22">
        <v>15</v>
      </c>
      <c r="E21" s="22">
        <v>15</v>
      </c>
      <c r="F21" s="22">
        <v>15</v>
      </c>
      <c r="G21" s="22">
        <v>15</v>
      </c>
      <c r="H21" s="31">
        <f>SUM(D21:G21)</f>
        <v>60</v>
      </c>
      <c r="I21" s="22">
        <v>0</v>
      </c>
      <c r="J21" s="22">
        <v>20</v>
      </c>
      <c r="K21" s="22">
        <v>33.333333330000002</v>
      </c>
      <c r="L21" s="22">
        <v>109.33333330000001</v>
      </c>
      <c r="M21" s="32">
        <f>SUM(J21:L21)-I21</f>
        <v>162.66666663000001</v>
      </c>
      <c r="N21" s="22">
        <v>81</v>
      </c>
      <c r="O21" s="22">
        <v>84</v>
      </c>
      <c r="P21" s="33">
        <f>SUM(N21:O21)</f>
        <v>165</v>
      </c>
      <c r="Q21" s="22">
        <v>10000</v>
      </c>
      <c r="R21" s="22">
        <v>10245</v>
      </c>
      <c r="S21" s="22">
        <f>R21-Q21</f>
        <v>245</v>
      </c>
      <c r="T21" s="22">
        <f>S21/Q21</f>
        <v>2.4500000000000001E-2</v>
      </c>
      <c r="U21" s="34">
        <f>IF(AND(Q21 &lt;&gt; "", R21 &lt;&gt; ""), MAX(0, IF(Q21 &gt; 0, 350 - ((350 / (0.3 * Q21)) * ABS(Q21 - R21)), 0)), "")</f>
        <v>321.41666666666669</v>
      </c>
      <c r="V21" s="20" t="s">
        <v>45</v>
      </c>
      <c r="W21" s="22">
        <v>150</v>
      </c>
      <c r="X21" s="35">
        <f>IF(OR(U21 &lt;&gt; "", W21&lt;&gt; ""),U21  + W21, "0")</f>
        <v>471.41666666666669</v>
      </c>
      <c r="Y21" s="22"/>
      <c r="Z21" s="22">
        <v>0</v>
      </c>
      <c r="AA21" s="28">
        <f>Z21+Y21</f>
        <v>0</v>
      </c>
      <c r="AD21" s="29">
        <f>AB21+AC21</f>
        <v>0</v>
      </c>
      <c r="AE21" s="22">
        <f>MAX(0, H21+M21+P21+X21+AA21-AD21)</f>
        <v>859.08333329666675</v>
      </c>
      <c r="AF21" s="20">
        <v>22</v>
      </c>
      <c r="AG21" s="23">
        <v>35</v>
      </c>
      <c r="AH21" s="20">
        <v>10245</v>
      </c>
      <c r="AI21" s="20">
        <v>10921</v>
      </c>
      <c r="AJ21" s="24">
        <f t="shared" si="0"/>
        <v>676</v>
      </c>
      <c r="AK21" s="25">
        <f t="shared" si="1"/>
        <v>6.1899093489607176E-2</v>
      </c>
      <c r="AL21" s="26">
        <f ca="1">IFERROR(__xludf.DUMMYFUNCTION("IF(AG41 = 99999, 99999, IF(AND(AG41 &lt;&gt; """", AI41 &lt;&gt; """"), RANK(AI41, FILTER(AI:AI, AG:AG &lt;&gt; 99999), 1), """"))
"),34)</f>
        <v>34</v>
      </c>
      <c r="AM21">
        <f t="shared" si="2"/>
        <v>1</v>
      </c>
      <c r="AN21">
        <f t="shared" si="3"/>
        <v>1</v>
      </c>
    </row>
    <row r="22" spans="1:40" ht="13" x14ac:dyDescent="0.15">
      <c r="A22" s="19">
        <v>130</v>
      </c>
      <c r="B22" s="20" t="s">
        <v>68</v>
      </c>
      <c r="C22" s="21" t="s">
        <v>44</v>
      </c>
      <c r="D22" s="22">
        <v>15</v>
      </c>
      <c r="E22" s="22">
        <v>15</v>
      </c>
      <c r="F22" s="22">
        <v>15</v>
      </c>
      <c r="G22" s="22">
        <v>15</v>
      </c>
      <c r="H22" s="31">
        <f>SUM(D22:G22)</f>
        <v>60</v>
      </c>
      <c r="I22" s="22">
        <v>205</v>
      </c>
      <c r="J22" s="22">
        <v>20</v>
      </c>
      <c r="K22" s="22">
        <v>39</v>
      </c>
      <c r="L22" s="22">
        <v>127</v>
      </c>
      <c r="M22" s="32">
        <f>SUM(J22:L22)-I22</f>
        <v>-19</v>
      </c>
      <c r="N22" s="22">
        <v>109</v>
      </c>
      <c r="O22" s="22">
        <v>108</v>
      </c>
      <c r="P22" s="33">
        <f>SUM(N22:O22)</f>
        <v>217</v>
      </c>
      <c r="Q22" s="22">
        <v>10000</v>
      </c>
      <c r="R22" s="22">
        <v>10243</v>
      </c>
      <c r="S22" s="22">
        <f>R22-Q22</f>
        <v>243</v>
      </c>
      <c r="T22" s="22">
        <f>S22/Q22</f>
        <v>2.4299999999999999E-2</v>
      </c>
      <c r="U22" s="34">
        <f>IF(AND(Q22 &lt;&gt; "", R22 &lt;&gt; ""), MAX(0, IF(Q22 &gt; 0, 350 - ((350 / (0.3 * Q22)) * ABS(Q22 - R22)), 0)), "")</f>
        <v>321.64999999999998</v>
      </c>
      <c r="V22" s="20" t="s">
        <v>45</v>
      </c>
      <c r="W22" s="22">
        <v>150</v>
      </c>
      <c r="X22" s="35">
        <f>IF(OR(U22 &lt;&gt; "", W22&lt;&gt; ""),U22  + W22, "0")</f>
        <v>471.65</v>
      </c>
      <c r="Y22" s="22">
        <v>15</v>
      </c>
      <c r="Z22" s="22">
        <v>50</v>
      </c>
      <c r="AA22" s="28">
        <f>Z22+Y22</f>
        <v>65</v>
      </c>
      <c r="AD22" s="29">
        <f>AB22+AC22</f>
        <v>0</v>
      </c>
      <c r="AE22" s="22">
        <f>MAX(0, H22+M22+P22+X22+AA22-AD22)</f>
        <v>794.65</v>
      </c>
      <c r="AF22" s="20">
        <v>29</v>
      </c>
      <c r="AG22" s="23">
        <v>46</v>
      </c>
      <c r="AH22" s="20">
        <v>10243</v>
      </c>
      <c r="AI22" s="20">
        <v>10040</v>
      </c>
      <c r="AJ22" s="24">
        <f t="shared" si="0"/>
        <v>203</v>
      </c>
      <c r="AK22" s="25">
        <f t="shared" si="1"/>
        <v>2.0219123505976096E-2</v>
      </c>
      <c r="AL22" s="26">
        <f ca="1">IFERROR(__xludf.DUMMYFUNCTION("IF(AG42 = 99999, 99999, IF(AND(AG42 &lt;&gt; """", AI42 &lt;&gt; """"), RANK(AI42, FILTER(AI:AI, AG:AG &lt;&gt; 99999), 1), """"))
"),45)</f>
        <v>45</v>
      </c>
      <c r="AM22">
        <f t="shared" si="2"/>
        <v>1</v>
      </c>
      <c r="AN22">
        <f t="shared" si="3"/>
        <v>1</v>
      </c>
    </row>
    <row r="23" spans="1:40" ht="13" x14ac:dyDescent="0.15">
      <c r="A23" s="19">
        <v>100</v>
      </c>
      <c r="B23" s="20" t="s">
        <v>43</v>
      </c>
      <c r="C23" s="21" t="s">
        <v>44</v>
      </c>
      <c r="D23" s="22">
        <v>15</v>
      </c>
      <c r="E23" s="22">
        <v>15</v>
      </c>
      <c r="F23" s="22">
        <v>15</v>
      </c>
      <c r="G23" s="22">
        <v>10</v>
      </c>
      <c r="H23" s="31">
        <f>SUM(D23:G23)</f>
        <v>55</v>
      </c>
      <c r="I23" s="22">
        <v>25</v>
      </c>
      <c r="J23" s="22">
        <v>13.33333333</v>
      </c>
      <c r="K23" s="22">
        <v>34.666666669999998</v>
      </c>
      <c r="L23" s="22">
        <v>109.33333330000001</v>
      </c>
      <c r="M23" s="32">
        <f>SUM(J23:L23)-I23</f>
        <v>132.33333329999999</v>
      </c>
      <c r="N23" s="22">
        <v>120</v>
      </c>
      <c r="O23" s="22">
        <v>111</v>
      </c>
      <c r="P23" s="33">
        <f>SUM(N23:O23)</f>
        <v>231</v>
      </c>
      <c r="Q23" s="22">
        <v>10000</v>
      </c>
      <c r="R23" s="22">
        <v>10242</v>
      </c>
      <c r="S23" s="22">
        <f>R23-Q23</f>
        <v>242</v>
      </c>
      <c r="T23" s="22">
        <f>S23/Q23</f>
        <v>2.4199999999999999E-2</v>
      </c>
      <c r="U23" s="34">
        <f>IF(AND(Q23 &lt;&gt; "", R23 &lt;&gt; ""), MAX(0, IF(Q23 &gt; 0, 350 - ((350 / (0.3 * Q23)) * ABS(Q23 - R23)), 0)), "")</f>
        <v>321.76666666666665</v>
      </c>
      <c r="V23" s="20" t="s">
        <v>45</v>
      </c>
      <c r="W23" s="22">
        <v>150</v>
      </c>
      <c r="X23" s="35">
        <f>IF(OR(U23 &lt;&gt; "", W23&lt;&gt; ""),U23  + W23, "0")</f>
        <v>471.76666666666665</v>
      </c>
      <c r="Y23" s="22"/>
      <c r="Z23" s="22">
        <v>50</v>
      </c>
      <c r="AA23" s="28">
        <f>Z23+Y23</f>
        <v>50</v>
      </c>
      <c r="AB23" s="22"/>
      <c r="AC23" s="22">
        <v>5</v>
      </c>
      <c r="AD23" s="29">
        <f>AB23+AC23</f>
        <v>5</v>
      </c>
      <c r="AE23" s="22">
        <f>MAX(0, H23+M23+P23+X23+AA23-AD23)</f>
        <v>935.0999999666667</v>
      </c>
      <c r="AF23" s="20">
        <v>9</v>
      </c>
      <c r="AG23" s="23">
        <v>14</v>
      </c>
      <c r="AH23" s="20">
        <v>10242</v>
      </c>
      <c r="AI23" s="20">
        <v>10041</v>
      </c>
      <c r="AJ23" s="24">
        <f t="shared" si="0"/>
        <v>201</v>
      </c>
      <c r="AK23" s="25">
        <f t="shared" si="1"/>
        <v>2.0017926501344489E-2</v>
      </c>
      <c r="AL23" s="26">
        <f ca="1">IFERROR(__xludf.DUMMYFUNCTION("IF(AG43 = 99999, 99999, IF(AND(AG43 &lt;&gt; """", AI43 &lt;&gt; """"), RANK(AI43, FILTER(AI:AI, AG:AG &lt;&gt; 99999), 1), """"))
"),79)</f>
        <v>79</v>
      </c>
      <c r="AM23">
        <f t="shared" si="2"/>
        <v>1</v>
      </c>
      <c r="AN23">
        <f t="shared" si="3"/>
        <v>1</v>
      </c>
    </row>
    <row r="24" spans="1:40" ht="13" x14ac:dyDescent="0.15">
      <c r="A24" s="19">
        <v>160</v>
      </c>
      <c r="B24" s="20" t="s">
        <v>88</v>
      </c>
      <c r="C24" s="21" t="s">
        <v>44</v>
      </c>
      <c r="D24" s="22">
        <v>15</v>
      </c>
      <c r="E24" s="22">
        <v>15</v>
      </c>
      <c r="F24" s="22">
        <v>15</v>
      </c>
      <c r="G24" s="22">
        <v>15</v>
      </c>
      <c r="H24" s="31">
        <f>SUM(D24:G24)</f>
        <v>60</v>
      </c>
      <c r="I24" s="22">
        <v>200</v>
      </c>
      <c r="J24" s="22">
        <v>20</v>
      </c>
      <c r="K24" s="22">
        <v>36.333333330000002</v>
      </c>
      <c r="L24" s="22">
        <v>115.33333330000001</v>
      </c>
      <c r="M24" s="32">
        <f>SUM(J24:L24)-I24</f>
        <v>-28.333333369999991</v>
      </c>
      <c r="N24" s="22">
        <v>88</v>
      </c>
      <c r="O24" s="22">
        <v>111</v>
      </c>
      <c r="P24" s="33">
        <f>SUM(N24:O24)</f>
        <v>199</v>
      </c>
      <c r="Q24" s="22">
        <v>10000</v>
      </c>
      <c r="R24" s="22">
        <v>10230</v>
      </c>
      <c r="S24" s="22">
        <f>R24-Q24</f>
        <v>230</v>
      </c>
      <c r="T24" s="22">
        <f>S24/Q24</f>
        <v>2.3E-2</v>
      </c>
      <c r="U24" s="34">
        <f>IF(AND(Q24 &lt;&gt; "", R24 &lt;&gt; ""), MAX(0, IF(Q24 &gt; 0, 350 - ((350 / (0.3 * Q24)) * ABS(Q24 - R24)), 0)), "")</f>
        <v>323.16666666666669</v>
      </c>
      <c r="V24" s="20" t="s">
        <v>45</v>
      </c>
      <c r="W24" s="22">
        <v>150</v>
      </c>
      <c r="X24" s="35">
        <f>IF(OR(U24 &lt;&gt; "", W24&lt;&gt; ""),U24  + W24, "0")</f>
        <v>473.16666666666669</v>
      </c>
      <c r="Y24" s="22"/>
      <c r="Z24" s="22">
        <v>50</v>
      </c>
      <c r="AA24" s="28">
        <f>Z24+Y24</f>
        <v>50</v>
      </c>
      <c r="AD24" s="29">
        <f>AB24+AC24</f>
        <v>0</v>
      </c>
      <c r="AE24" s="22">
        <f>MAX(0, H24+M24+P24+X24+AA24-AD24)</f>
        <v>753.83333329666675</v>
      </c>
      <c r="AF24" s="20">
        <v>36</v>
      </c>
      <c r="AG24" s="23">
        <v>53</v>
      </c>
      <c r="AH24" s="20">
        <v>10230</v>
      </c>
      <c r="AI24" s="20">
        <v>10000</v>
      </c>
      <c r="AJ24" s="24">
        <f t="shared" si="0"/>
        <v>230</v>
      </c>
      <c r="AK24" s="25">
        <f t="shared" si="1"/>
        <v>2.3E-2</v>
      </c>
      <c r="AL24" s="26">
        <f ca="1">IFERROR(__xludf.DUMMYFUNCTION("IF(AG44 = 99999, 99999, IF(AND(AG44 &lt;&gt; """", AI44 &lt;&gt; """"), RANK(AI44, FILTER(AI:AI, AG:AG &lt;&gt; 99999), 1), """"))
"),69)</f>
        <v>69</v>
      </c>
      <c r="AM24">
        <f t="shared" si="2"/>
        <v>1</v>
      </c>
      <c r="AN24">
        <f t="shared" si="3"/>
        <v>1</v>
      </c>
    </row>
    <row r="25" spans="1:40" ht="13" x14ac:dyDescent="0.15">
      <c r="A25" s="19">
        <v>170</v>
      </c>
      <c r="B25" s="20" t="s">
        <v>95</v>
      </c>
      <c r="C25" s="21" t="s">
        <v>44</v>
      </c>
      <c r="D25" s="22">
        <v>15</v>
      </c>
      <c r="E25" s="22">
        <v>15</v>
      </c>
      <c r="F25" s="22">
        <v>15</v>
      </c>
      <c r="G25" s="22">
        <v>15</v>
      </c>
      <c r="H25" s="31">
        <f>SUM(D25:G25)</f>
        <v>60</v>
      </c>
      <c r="I25" s="22">
        <v>0</v>
      </c>
      <c r="J25" s="22">
        <v>20</v>
      </c>
      <c r="K25" s="22">
        <v>35</v>
      </c>
      <c r="L25" s="22">
        <v>114</v>
      </c>
      <c r="M25" s="32">
        <f>SUM(J25:L25)-I25</f>
        <v>169</v>
      </c>
      <c r="N25" s="22">
        <v>74</v>
      </c>
      <c r="O25" s="22">
        <v>88</v>
      </c>
      <c r="P25" s="33">
        <f>SUM(N25:O25)</f>
        <v>162</v>
      </c>
      <c r="Q25" s="22">
        <v>10000</v>
      </c>
      <c r="R25" s="22">
        <v>10081</v>
      </c>
      <c r="S25" s="22">
        <f>R25-Q25</f>
        <v>81</v>
      </c>
      <c r="T25" s="22">
        <f>S25/Q25</f>
        <v>8.0999999999999996E-3</v>
      </c>
      <c r="U25" s="34">
        <f>IF(AND(Q25 &lt;&gt; "", R25 &lt;&gt; ""), MAX(0, IF(Q25 &gt; 0, 350 - ((350 / (0.3 * Q25)) * ABS(Q25 - R25)), 0)), "")</f>
        <v>340.55</v>
      </c>
      <c r="V25" s="20" t="s">
        <v>45</v>
      </c>
      <c r="W25" s="22">
        <v>150</v>
      </c>
      <c r="X25" s="35">
        <f>IF(OR(U25 &lt;&gt; "", W25&lt;&gt; ""),U25  + W25, "0")</f>
        <v>490.55</v>
      </c>
      <c r="Y25" s="22">
        <v>75</v>
      </c>
      <c r="Z25" s="22">
        <v>50</v>
      </c>
      <c r="AA25" s="28">
        <f>Z25+Y25</f>
        <v>125</v>
      </c>
      <c r="AD25" s="29">
        <f>AB25+AC25</f>
        <v>0</v>
      </c>
      <c r="AE25" s="22">
        <f>MAX(0, H25+M25+P25+X25+AA25-AD25)</f>
        <v>1006.55</v>
      </c>
      <c r="AF25" s="20">
        <v>4</v>
      </c>
      <c r="AG25" s="23">
        <v>5</v>
      </c>
      <c r="AH25" s="20">
        <v>10081</v>
      </c>
      <c r="AI25" s="20">
        <v>9886</v>
      </c>
      <c r="AJ25" s="24">
        <f t="shared" si="0"/>
        <v>195</v>
      </c>
      <c r="AK25" s="25">
        <f t="shared" si="1"/>
        <v>1.9724863443253086E-2</v>
      </c>
      <c r="AL25" s="26">
        <f ca="1">IFERROR(__xludf.DUMMYFUNCTION("IF(AG45 = 99999, 99999, IF(AND(AG45 &lt;&gt; """", AI45 &lt;&gt; """"), RANK(AI45, FILTER(AI:AI, AG:AG &lt;&gt; 99999), 1), """"))
"),111)</f>
        <v>111</v>
      </c>
      <c r="AM25">
        <f t="shared" si="2"/>
        <v>1</v>
      </c>
      <c r="AN25">
        <f t="shared" si="3"/>
        <v>1</v>
      </c>
    </row>
    <row r="26" spans="1:40" ht="13" x14ac:dyDescent="0.15">
      <c r="A26" s="19">
        <v>114</v>
      </c>
      <c r="B26" s="20" t="s">
        <v>57</v>
      </c>
      <c r="C26" s="21" t="s">
        <v>44</v>
      </c>
      <c r="D26" s="22">
        <v>15</v>
      </c>
      <c r="E26" s="22">
        <v>15</v>
      </c>
      <c r="F26" s="22">
        <v>15</v>
      </c>
      <c r="G26" s="22">
        <v>15</v>
      </c>
      <c r="H26" s="31">
        <f>SUM(D26:G26)</f>
        <v>60</v>
      </c>
      <c r="I26" s="22">
        <v>200</v>
      </c>
      <c r="J26" s="22">
        <v>13</v>
      </c>
      <c r="K26" s="22">
        <v>29</v>
      </c>
      <c r="L26" s="22">
        <v>109.33333330000001</v>
      </c>
      <c r="M26" s="32">
        <f>SUM(J26:L26)-I26</f>
        <v>-48.666666700000007</v>
      </c>
      <c r="N26" s="22">
        <v>110</v>
      </c>
      <c r="O26" s="22">
        <v>102</v>
      </c>
      <c r="P26" s="33">
        <f>SUM(N26:O26)</f>
        <v>212</v>
      </c>
      <c r="Q26" s="22">
        <v>10000</v>
      </c>
      <c r="R26" s="22">
        <v>10062</v>
      </c>
      <c r="S26" s="22">
        <f>R26-Q26</f>
        <v>62</v>
      </c>
      <c r="T26" s="22">
        <f>S26/Q26</f>
        <v>6.1999999999999998E-3</v>
      </c>
      <c r="U26" s="34">
        <f>IF(AND(Q26 &lt;&gt; "", R26 &lt;&gt; ""), MAX(0, IF(Q26 &gt; 0, 350 - ((350 / (0.3 * Q26)) * ABS(Q26 - R26)), 0)), "")</f>
        <v>342.76666666666665</v>
      </c>
      <c r="V26" s="20" t="s">
        <v>45</v>
      </c>
      <c r="W26" s="22">
        <v>150</v>
      </c>
      <c r="X26" s="35">
        <f>IF(OR(U26 &lt;&gt; "", W26&lt;&gt; ""),U26  + W26, "0")</f>
        <v>492.76666666666665</v>
      </c>
      <c r="Y26" s="22">
        <v>90</v>
      </c>
      <c r="Z26" s="22">
        <v>50</v>
      </c>
      <c r="AA26" s="28">
        <f>Z26+Y26</f>
        <v>140</v>
      </c>
      <c r="AD26" s="29">
        <f>AB26+AC26</f>
        <v>0</v>
      </c>
      <c r="AE26" s="22">
        <f>MAX(0, H26+M26+P26+X26+AA26-AD26)</f>
        <v>856.0999999666667</v>
      </c>
      <c r="AF26" s="20">
        <v>23</v>
      </c>
      <c r="AG26" s="23">
        <v>37</v>
      </c>
      <c r="AH26" s="20">
        <v>10062</v>
      </c>
      <c r="AI26" s="20">
        <v>9810</v>
      </c>
      <c r="AJ26" s="24">
        <f t="shared" si="0"/>
        <v>252</v>
      </c>
      <c r="AK26" s="25">
        <f t="shared" si="1"/>
        <v>2.5688073394495414E-2</v>
      </c>
      <c r="AL26" s="26">
        <f ca="1">IFERROR(__xludf.DUMMYFUNCTION("IF(AG46 = 99999, 99999, IF(AND(AG46 &lt;&gt; """", AI46 &lt;&gt; """"), RANK(AI46, FILTER(AI:AI, AG:AG &lt;&gt; 99999), 1), """"))
"),101)</f>
        <v>101</v>
      </c>
      <c r="AM26">
        <f t="shared" si="2"/>
        <v>1</v>
      </c>
      <c r="AN26">
        <f t="shared" si="3"/>
        <v>1</v>
      </c>
    </row>
    <row r="27" spans="1:40" ht="13" x14ac:dyDescent="0.15">
      <c r="A27" s="19">
        <v>147</v>
      </c>
      <c r="B27" s="20" t="s">
        <v>80</v>
      </c>
      <c r="C27" s="21" t="s">
        <v>44</v>
      </c>
      <c r="D27" s="22">
        <v>15</v>
      </c>
      <c r="E27" s="22">
        <v>15</v>
      </c>
      <c r="F27" s="22">
        <v>15</v>
      </c>
      <c r="G27" s="22">
        <v>15</v>
      </c>
      <c r="H27" s="31">
        <f>SUM(D27:G27)</f>
        <v>60</v>
      </c>
      <c r="I27" s="22">
        <v>200</v>
      </c>
      <c r="J27" s="22">
        <v>20</v>
      </c>
      <c r="K27" s="22">
        <v>24.5</v>
      </c>
      <c r="L27" s="22">
        <v>58.5</v>
      </c>
      <c r="M27" s="32">
        <f>SUM(J27:L27)-I27</f>
        <v>-97</v>
      </c>
      <c r="N27" s="22">
        <v>79</v>
      </c>
      <c r="O27" s="22">
        <v>102</v>
      </c>
      <c r="P27" s="33">
        <f>SUM(N27:O27)</f>
        <v>181</v>
      </c>
      <c r="Q27" s="22">
        <v>10000</v>
      </c>
      <c r="R27" s="22">
        <v>10026</v>
      </c>
      <c r="S27" s="22">
        <f>R27-Q27</f>
        <v>26</v>
      </c>
      <c r="T27" s="22">
        <f>S27/Q27</f>
        <v>2.5999999999999999E-3</v>
      </c>
      <c r="U27" s="34">
        <f>IF(AND(Q27 &lt;&gt; "", R27 &lt;&gt; ""), MAX(0, IF(Q27 &gt; 0, 350 - ((350 / (0.3 * Q27)) * ABS(Q27 - R27)), 0)), "")</f>
        <v>346.96666666666664</v>
      </c>
      <c r="V27" s="20" t="s">
        <v>45</v>
      </c>
      <c r="W27" s="22">
        <v>150</v>
      </c>
      <c r="X27" s="35">
        <f>IF(OR(U27 &lt;&gt; "", W27&lt;&gt; ""),U27  + W27, "0")</f>
        <v>496.96666666666664</v>
      </c>
      <c r="Y27" s="22"/>
      <c r="Z27" s="22">
        <v>0</v>
      </c>
      <c r="AA27" s="28">
        <f>Z27+Y27</f>
        <v>0</v>
      </c>
      <c r="AB27" s="22">
        <v>100</v>
      </c>
      <c r="AC27" s="22"/>
      <c r="AD27" s="29">
        <f>AB27+AC27</f>
        <v>100</v>
      </c>
      <c r="AE27" s="22">
        <f>MAX(0, H27+M27+P27+X27+AA27-AD27)</f>
        <v>540.9666666666667</v>
      </c>
      <c r="AF27" s="20">
        <v>59</v>
      </c>
      <c r="AG27" s="23">
        <v>75</v>
      </c>
      <c r="AH27" s="20">
        <v>10026</v>
      </c>
      <c r="AI27" s="20">
        <v>9742</v>
      </c>
      <c r="AJ27" s="24">
        <f t="shared" si="0"/>
        <v>284</v>
      </c>
      <c r="AK27" s="25">
        <f t="shared" si="1"/>
        <v>2.9152124820365426E-2</v>
      </c>
      <c r="AL27" s="26">
        <f ca="1">IFERROR(__xludf.DUMMYFUNCTION("IF(AG47 = 99999, 99999, IF(AND(AG47 &lt;&gt; """", AI47 &lt;&gt; """"), RANK(AI47, FILTER(AI:AI, AG:AG &lt;&gt; 99999), 1), """"))
"),20)</f>
        <v>20</v>
      </c>
      <c r="AM27">
        <f t="shared" si="2"/>
        <v>1</v>
      </c>
      <c r="AN27">
        <f t="shared" si="3"/>
        <v>1</v>
      </c>
    </row>
    <row r="28" spans="1:40" ht="13" x14ac:dyDescent="0.15">
      <c r="A28" s="19">
        <v>184</v>
      </c>
      <c r="B28" s="20" t="s">
        <v>106</v>
      </c>
      <c r="C28" s="21" t="s">
        <v>44</v>
      </c>
      <c r="D28" s="22">
        <v>15</v>
      </c>
      <c r="E28" s="22">
        <v>15</v>
      </c>
      <c r="F28" s="22">
        <v>15</v>
      </c>
      <c r="G28" s="22">
        <v>15</v>
      </c>
      <c r="H28" s="31">
        <f>SUM(D28:G28)</f>
        <v>60</v>
      </c>
      <c r="I28" s="22">
        <v>5</v>
      </c>
      <c r="J28" s="22">
        <v>19</v>
      </c>
      <c r="K28" s="22">
        <v>32</v>
      </c>
      <c r="L28" s="22">
        <v>126</v>
      </c>
      <c r="M28" s="32">
        <f>SUM(J28:L28)-I28</f>
        <v>172</v>
      </c>
      <c r="N28" s="22">
        <v>107</v>
      </c>
      <c r="O28" s="22">
        <v>112</v>
      </c>
      <c r="P28" s="33">
        <f>SUM(N28:O28)</f>
        <v>219</v>
      </c>
      <c r="Q28" s="22">
        <v>10000</v>
      </c>
      <c r="R28" s="22">
        <v>10019</v>
      </c>
      <c r="S28" s="22">
        <f>R28-Q28</f>
        <v>19</v>
      </c>
      <c r="T28" s="22">
        <f>S28/Q28</f>
        <v>1.9E-3</v>
      </c>
      <c r="U28" s="34">
        <f>IF(AND(Q28 &lt;&gt; "", R28 &lt;&gt; ""), MAX(0, IF(Q28 &gt; 0, 350 - ((350 / (0.3 * Q28)) * ABS(Q28 - R28)), 0)), "")</f>
        <v>347.78333333333336</v>
      </c>
      <c r="V28" s="20" t="s">
        <v>45</v>
      </c>
      <c r="W28" s="22">
        <v>150</v>
      </c>
      <c r="X28" s="35">
        <f>IF(OR(U28 &lt;&gt; "", W28&lt;&gt; ""),U28  + W28, "0")</f>
        <v>497.78333333333336</v>
      </c>
      <c r="Y28" s="22">
        <v>45</v>
      </c>
      <c r="Z28" s="22">
        <v>50</v>
      </c>
      <c r="AA28" s="28">
        <f>Z28+Y28</f>
        <v>95</v>
      </c>
      <c r="AD28" s="29">
        <f>AB28+AC28</f>
        <v>0</v>
      </c>
      <c r="AE28" s="22">
        <f>MAX(0, H28+M28+P28+X28+AA28-AD28)</f>
        <v>1043.7833333333333</v>
      </c>
      <c r="AF28" s="20">
        <v>1</v>
      </c>
      <c r="AG28" s="23">
        <v>1</v>
      </c>
      <c r="AH28" s="20">
        <v>10019</v>
      </c>
      <c r="AI28" s="20">
        <v>9882</v>
      </c>
      <c r="AJ28" s="24">
        <f t="shared" si="0"/>
        <v>137</v>
      </c>
      <c r="AK28" s="25">
        <f t="shared" si="1"/>
        <v>1.3863590366322606E-2</v>
      </c>
      <c r="AL28" s="26">
        <f ca="1">IFERROR(__xludf.DUMMYFUNCTION("IF(AG48 = 99999, 99999, IF(AND(AG48 &lt;&gt; """", AI48 &lt;&gt; """"), RANK(AI48, FILTER(AI:AI, AG:AG &lt;&gt; 99999), 1), """"))
"),86)</f>
        <v>86</v>
      </c>
      <c r="AM28">
        <f t="shared" si="2"/>
        <v>1</v>
      </c>
      <c r="AN28">
        <f t="shared" si="3"/>
        <v>1</v>
      </c>
    </row>
    <row r="29" spans="1:40" ht="13" x14ac:dyDescent="0.15">
      <c r="A29" s="19">
        <v>129</v>
      </c>
      <c r="B29" s="20" t="s">
        <v>67</v>
      </c>
      <c r="C29" s="21" t="s">
        <v>44</v>
      </c>
      <c r="D29" s="22">
        <v>15</v>
      </c>
      <c r="E29" s="22">
        <v>15</v>
      </c>
      <c r="F29" s="22">
        <v>15</v>
      </c>
      <c r="G29" s="22">
        <v>15</v>
      </c>
      <c r="H29" s="31">
        <f>SUM(D29:G29)</f>
        <v>60</v>
      </c>
      <c r="I29" s="22">
        <v>0</v>
      </c>
      <c r="J29" s="22">
        <v>20</v>
      </c>
      <c r="K29" s="22">
        <v>38</v>
      </c>
      <c r="L29" s="22">
        <v>124.5</v>
      </c>
      <c r="M29" s="32">
        <f>SUM(J29:L29)-I29</f>
        <v>182.5</v>
      </c>
      <c r="N29" s="22">
        <v>116</v>
      </c>
      <c r="O29" s="22">
        <v>102</v>
      </c>
      <c r="P29" s="33">
        <f>SUM(N29:O29)</f>
        <v>218</v>
      </c>
      <c r="Q29" s="22">
        <v>10000</v>
      </c>
      <c r="R29" s="22">
        <v>10000</v>
      </c>
      <c r="S29" s="22">
        <f>R29-Q29</f>
        <v>0</v>
      </c>
      <c r="T29" s="22">
        <f>S29/Q29</f>
        <v>0</v>
      </c>
      <c r="U29" s="34">
        <f>IF(AND(Q29 &lt;&gt; "", R29 &lt;&gt; ""), MAX(0, IF(Q29 &gt; 0, 350 - ((350 / (0.3 * Q29)) * ABS(Q29 - R29)), 0)), "")</f>
        <v>350</v>
      </c>
      <c r="V29" s="20" t="s">
        <v>45</v>
      </c>
      <c r="W29" s="22">
        <v>150</v>
      </c>
      <c r="X29" s="35">
        <f>IF(OR(U29 &lt;&gt; "", W29&lt;&gt; ""),U29  + W29, "0")</f>
        <v>500</v>
      </c>
      <c r="Y29" s="22">
        <v>30</v>
      </c>
      <c r="Z29" s="22">
        <v>50</v>
      </c>
      <c r="AA29" s="28">
        <f>Z29+Y29</f>
        <v>80</v>
      </c>
      <c r="AD29" s="29">
        <f>AB29+AC29</f>
        <v>0</v>
      </c>
      <c r="AE29" s="22">
        <f>MAX(0, H29+M29+P29+X29+AA29-AD29)</f>
        <v>1040.5</v>
      </c>
      <c r="AF29" s="20">
        <v>2</v>
      </c>
      <c r="AG29" s="23">
        <v>2</v>
      </c>
      <c r="AH29" s="20">
        <v>10000</v>
      </c>
      <c r="AI29" s="20">
        <v>10000</v>
      </c>
      <c r="AJ29" s="24">
        <f t="shared" si="0"/>
        <v>0</v>
      </c>
      <c r="AK29" s="25">
        <f t="shared" si="1"/>
        <v>0</v>
      </c>
      <c r="AL29" s="26">
        <f ca="1">IFERROR(__xludf.DUMMYFUNCTION("IF(AG49 = 99999, 99999, IF(AND(AG49 &lt;&gt; """", AI49 &lt;&gt; """"), RANK(AI49, FILTER(AI:AI, AG:AG &lt;&gt; 99999), 1), """"))
"),110)</f>
        <v>110</v>
      </c>
      <c r="AM29">
        <f t="shared" si="2"/>
        <v>1</v>
      </c>
      <c r="AN29">
        <f t="shared" si="3"/>
        <v>1</v>
      </c>
    </row>
    <row r="30" spans="1:40" ht="13" x14ac:dyDescent="0.15">
      <c r="A30" s="19">
        <v>702</v>
      </c>
      <c r="B30" s="20" t="s">
        <v>152</v>
      </c>
      <c r="C30" s="21" t="s">
        <v>44</v>
      </c>
      <c r="D30" s="22">
        <v>15</v>
      </c>
      <c r="E30" s="22">
        <v>15</v>
      </c>
      <c r="F30" s="22">
        <v>15</v>
      </c>
      <c r="G30" s="22">
        <v>15</v>
      </c>
      <c r="H30" s="31">
        <f>SUM(D30:G30)</f>
        <v>60</v>
      </c>
      <c r="I30" s="22">
        <v>5</v>
      </c>
      <c r="J30" s="22">
        <v>20</v>
      </c>
      <c r="K30" s="22">
        <v>37.5</v>
      </c>
      <c r="L30" s="22">
        <v>127</v>
      </c>
      <c r="M30" s="32">
        <f>SUM(J30:L30)-I30</f>
        <v>179.5</v>
      </c>
      <c r="N30" s="22">
        <v>95.5</v>
      </c>
      <c r="O30" s="22">
        <v>100</v>
      </c>
      <c r="P30" s="33">
        <f>SUM(N30:O30)</f>
        <v>195.5</v>
      </c>
      <c r="Q30" s="22">
        <v>10000</v>
      </c>
      <c r="R30" s="22">
        <v>9966</v>
      </c>
      <c r="S30" s="22">
        <f>R30-Q30</f>
        <v>-34</v>
      </c>
      <c r="T30" s="22">
        <f>S30/Q30</f>
        <v>-3.3999999999999998E-3</v>
      </c>
      <c r="U30" s="34">
        <f>IF(AND(Q30 &lt;&gt; "", R30 &lt;&gt; ""), MAX(0, IF(Q30 &gt; 0, 350 - ((350 / (0.3 * Q30)) * ABS(Q30 - R30)), 0)), "")</f>
        <v>346.03333333333336</v>
      </c>
      <c r="V30" s="20" t="s">
        <v>45</v>
      </c>
      <c r="W30" s="22">
        <v>150</v>
      </c>
      <c r="X30" s="35">
        <f>IF(OR(U30 &lt;&gt; "", W30&lt;&gt; ""),U30  + W30, "0")</f>
        <v>496.03333333333336</v>
      </c>
      <c r="Y30" s="22"/>
      <c r="Z30" s="22">
        <v>50</v>
      </c>
      <c r="AA30" s="28">
        <f>Z30+Y30</f>
        <v>50</v>
      </c>
      <c r="AD30" s="29">
        <f>AB30+AC30</f>
        <v>0</v>
      </c>
      <c r="AE30" s="22">
        <f>MAX(0, H30+M30+P30+X30+AA30-AD30)</f>
        <v>981.0333333333333</v>
      </c>
      <c r="AF30" s="20">
        <v>5</v>
      </c>
      <c r="AG30" s="23">
        <v>8</v>
      </c>
      <c r="AH30" s="20">
        <v>9966</v>
      </c>
      <c r="AI30" s="20">
        <v>10000</v>
      </c>
      <c r="AJ30" s="24">
        <f t="shared" si="0"/>
        <v>34</v>
      </c>
      <c r="AK30" s="25">
        <f t="shared" si="1"/>
        <v>3.3999999999999998E-3</v>
      </c>
      <c r="AL30" s="26">
        <f ca="1">IFERROR(__xludf.DUMMYFUNCTION("IF(AG50 = 99999, 99999, IF(AND(AG50 &lt;&gt; """", AI50 &lt;&gt; """"), RANK(AI50, FILTER(AI:AI, AG:AG &lt;&gt; 99999), 1), """"))
"),53)</f>
        <v>53</v>
      </c>
      <c r="AM30">
        <f t="shared" si="2"/>
        <v>1</v>
      </c>
      <c r="AN30">
        <f t="shared" si="3"/>
        <v>1</v>
      </c>
    </row>
    <row r="31" spans="1:40" ht="13" x14ac:dyDescent="0.15">
      <c r="A31" s="19">
        <v>122</v>
      </c>
      <c r="B31" s="20" t="s">
        <v>63</v>
      </c>
      <c r="C31" s="21" t="s">
        <v>44</v>
      </c>
      <c r="D31" s="22">
        <v>15</v>
      </c>
      <c r="E31" s="22">
        <v>15</v>
      </c>
      <c r="F31" s="22">
        <v>15</v>
      </c>
      <c r="G31" s="22">
        <v>15</v>
      </c>
      <c r="H31" s="31">
        <f>SUM(D31:G31)</f>
        <v>60</v>
      </c>
      <c r="I31" s="22">
        <v>5</v>
      </c>
      <c r="J31" s="22">
        <v>10</v>
      </c>
      <c r="K31" s="22">
        <v>27.25</v>
      </c>
      <c r="L31" s="22">
        <v>98.5</v>
      </c>
      <c r="M31" s="32">
        <f>SUM(J31:L31)-I31</f>
        <v>130.75</v>
      </c>
      <c r="N31" s="22">
        <v>91</v>
      </c>
      <c r="O31" s="22">
        <v>90</v>
      </c>
      <c r="P31" s="33">
        <f>SUM(N31:O31)</f>
        <v>181</v>
      </c>
      <c r="Q31" s="22">
        <v>10000</v>
      </c>
      <c r="R31" s="22">
        <v>9922</v>
      </c>
      <c r="S31" s="22">
        <f>R31-Q31</f>
        <v>-78</v>
      </c>
      <c r="T31" s="22">
        <f>S31/Q31</f>
        <v>-7.7999999999999996E-3</v>
      </c>
      <c r="U31" s="34">
        <f>IF(AND(Q31 &lt;&gt; "", R31 &lt;&gt; ""), MAX(0, IF(Q31 &gt; 0, 350 - ((350 / (0.3 * Q31)) * ABS(Q31 - R31)), 0)), "")</f>
        <v>340.9</v>
      </c>
      <c r="V31" s="20" t="s">
        <v>45</v>
      </c>
      <c r="W31" s="22">
        <v>150</v>
      </c>
      <c r="X31" s="35">
        <f>IF(OR(U31 &lt;&gt; "", W31&lt;&gt; ""),U31  + W31, "0")</f>
        <v>490.9</v>
      </c>
      <c r="Y31" s="22"/>
      <c r="Z31" s="22">
        <v>50</v>
      </c>
      <c r="AA31" s="28">
        <f>Z31+Y31</f>
        <v>50</v>
      </c>
      <c r="AD31" s="29">
        <f>AB31+AC31</f>
        <v>0</v>
      </c>
      <c r="AE31" s="22">
        <f>MAX(0, H31+M31+P31+X31+AA31-AD31)</f>
        <v>912.65</v>
      </c>
      <c r="AF31" s="20">
        <v>13</v>
      </c>
      <c r="AG31" s="23">
        <v>25</v>
      </c>
      <c r="AH31" s="20">
        <v>9922</v>
      </c>
      <c r="AI31" s="20">
        <v>10330</v>
      </c>
      <c r="AJ31" s="24">
        <f t="shared" si="0"/>
        <v>408</v>
      </c>
      <c r="AK31" s="25">
        <f t="shared" si="1"/>
        <v>3.9496611810261373E-2</v>
      </c>
      <c r="AL31" s="26">
        <f ca="1">IFERROR(__xludf.DUMMYFUNCTION("IF(AG51 = 99999, 99999, IF(AND(AG51 &lt;&gt; """", AI51 &lt;&gt; """"), RANK(AI51, FILTER(AI:AI, AG:AG &lt;&gt; 99999), 1), """"))
"),108)</f>
        <v>108</v>
      </c>
      <c r="AM31">
        <f t="shared" si="2"/>
        <v>1</v>
      </c>
      <c r="AN31">
        <f t="shared" si="3"/>
        <v>1</v>
      </c>
    </row>
    <row r="32" spans="1:40" ht="13" x14ac:dyDescent="0.15">
      <c r="A32" s="19">
        <v>112</v>
      </c>
      <c r="B32" s="20" t="s">
        <v>56</v>
      </c>
      <c r="C32" s="21" t="s">
        <v>44</v>
      </c>
      <c r="D32" s="22">
        <v>15</v>
      </c>
      <c r="E32" s="22">
        <v>15</v>
      </c>
      <c r="F32" s="22">
        <v>15</v>
      </c>
      <c r="G32" s="22">
        <v>15</v>
      </c>
      <c r="H32" s="31">
        <f>SUM(D32:G32)</f>
        <v>60</v>
      </c>
      <c r="I32" s="22">
        <v>0</v>
      </c>
      <c r="J32" s="22">
        <v>20</v>
      </c>
      <c r="K32" s="22">
        <v>33</v>
      </c>
      <c r="L32" s="22">
        <v>104.33333330000001</v>
      </c>
      <c r="M32" s="32">
        <f>SUM(J32:L32)-I32</f>
        <v>157.33333329999999</v>
      </c>
      <c r="N32" s="22">
        <v>75</v>
      </c>
      <c r="O32" s="22">
        <v>97</v>
      </c>
      <c r="P32" s="33">
        <f>SUM(N32:O32)</f>
        <v>172</v>
      </c>
      <c r="Q32" s="22">
        <v>10000</v>
      </c>
      <c r="R32" s="22">
        <v>9872</v>
      </c>
      <c r="S32" s="22">
        <f>R32-Q32</f>
        <v>-128</v>
      </c>
      <c r="T32" s="22">
        <f>S32/Q32</f>
        <v>-1.2800000000000001E-2</v>
      </c>
      <c r="U32" s="34">
        <f>IF(AND(Q32 &lt;&gt; "", R32 &lt;&gt; ""), MAX(0, IF(Q32 &gt; 0, 350 - ((350 / (0.3 * Q32)) * ABS(Q32 - R32)), 0)), "")</f>
        <v>335.06666666666666</v>
      </c>
      <c r="V32" s="20" t="s">
        <v>45</v>
      </c>
      <c r="W32" s="22">
        <v>150</v>
      </c>
      <c r="X32" s="35">
        <f>IF(OR(U32 &lt;&gt; "", W32&lt;&gt; ""),U32  + W32, "0")</f>
        <v>485.06666666666666</v>
      </c>
      <c r="Y32" s="22">
        <v>105</v>
      </c>
      <c r="Z32" s="22">
        <v>50</v>
      </c>
      <c r="AA32" s="28">
        <f>Z32+Y32</f>
        <v>155</v>
      </c>
      <c r="AD32" s="29">
        <f>AB32+AC32</f>
        <v>0</v>
      </c>
      <c r="AE32" s="22">
        <f>MAX(0, H32+M32+P32+X32+AA32-AD32)</f>
        <v>1029.3999999666667</v>
      </c>
      <c r="AF32" s="20">
        <v>3</v>
      </c>
      <c r="AG32" s="23">
        <v>4</v>
      </c>
      <c r="AH32" s="20">
        <v>9872</v>
      </c>
      <c r="AI32" s="20">
        <v>8973</v>
      </c>
      <c r="AJ32" s="24">
        <f t="shared" si="0"/>
        <v>899</v>
      </c>
      <c r="AK32" s="25">
        <f t="shared" si="1"/>
        <v>0.1001894572606709</v>
      </c>
      <c r="AL32" s="26">
        <f ca="1">IFERROR(__xludf.DUMMYFUNCTION("IF(AG52 = 99999, 99999, IF(AND(AG52 &lt;&gt; """", AI52 &lt;&gt; """"), RANK(AI52, FILTER(AI:AI, AG:AG &lt;&gt; 99999), 1), """"))
"),115)</f>
        <v>115</v>
      </c>
      <c r="AM32">
        <f t="shared" si="2"/>
        <v>1</v>
      </c>
      <c r="AN32">
        <f t="shared" si="3"/>
        <v>1</v>
      </c>
    </row>
    <row r="33" spans="1:40" ht="13" x14ac:dyDescent="0.15">
      <c r="A33" s="19">
        <v>116</v>
      </c>
      <c r="B33" s="20" t="s">
        <v>59</v>
      </c>
      <c r="C33" s="21" t="s">
        <v>44</v>
      </c>
      <c r="D33" s="22">
        <v>15</v>
      </c>
      <c r="E33" s="22">
        <v>0</v>
      </c>
      <c r="F33" s="22">
        <v>15</v>
      </c>
      <c r="G33" s="22">
        <v>0</v>
      </c>
      <c r="H33" s="31">
        <f>SUM(D33:G33)</f>
        <v>30</v>
      </c>
      <c r="I33" s="22">
        <v>200</v>
      </c>
      <c r="J33" s="22">
        <v>13.33333333</v>
      </c>
      <c r="K33" s="22">
        <v>30</v>
      </c>
      <c r="L33" s="22">
        <v>80</v>
      </c>
      <c r="M33" s="32">
        <f>SUM(J33:L33)-I33</f>
        <v>-76.666666669999998</v>
      </c>
      <c r="N33" s="22">
        <v>80</v>
      </c>
      <c r="O33" s="22">
        <v>97</v>
      </c>
      <c r="P33" s="33">
        <f>SUM(N33:O33)</f>
        <v>177</v>
      </c>
      <c r="Q33" s="22">
        <v>10000</v>
      </c>
      <c r="R33" s="22">
        <v>9844</v>
      </c>
      <c r="S33" s="22">
        <f>R33-Q33</f>
        <v>-156</v>
      </c>
      <c r="T33" s="22">
        <f>S33/Q33</f>
        <v>-1.5599999999999999E-2</v>
      </c>
      <c r="U33" s="34">
        <f>IF(AND(Q33 &lt;&gt; "", R33 &lt;&gt; ""), MAX(0, IF(Q33 &gt; 0, 350 - ((350 / (0.3 * Q33)) * ABS(Q33 - R33)), 0)), "")</f>
        <v>331.8</v>
      </c>
      <c r="V33" s="20" t="s">
        <v>45</v>
      </c>
      <c r="W33" s="22">
        <v>150</v>
      </c>
      <c r="X33" s="35">
        <f>IF(OR(U33 &lt;&gt; "", W33&lt;&gt; ""),U33  + W33, "0")</f>
        <v>481.8</v>
      </c>
      <c r="Y33" s="22"/>
      <c r="Z33" s="22">
        <v>0</v>
      </c>
      <c r="AA33" s="28">
        <f>Z33+Y33</f>
        <v>0</v>
      </c>
      <c r="AD33" s="29">
        <f>AB33+AC33</f>
        <v>0</v>
      </c>
      <c r="AE33" s="22">
        <f>MAX(0, H33+M33+P33+X33+AA33-AD33)</f>
        <v>612.13333333000003</v>
      </c>
      <c r="AF33" s="20">
        <v>54</v>
      </c>
      <c r="AG33" s="23">
        <v>83</v>
      </c>
      <c r="AH33" s="20">
        <v>9844</v>
      </c>
      <c r="AI33" s="20">
        <v>10274</v>
      </c>
      <c r="AJ33" s="24">
        <f t="shared" si="0"/>
        <v>430</v>
      </c>
      <c r="AK33" s="25">
        <f t="shared" si="1"/>
        <v>4.1853221724742068E-2</v>
      </c>
      <c r="AL33" s="26" t="str">
        <f ca="1">IFERROR(__xludf.DUMMYFUNCTION("IF(AG54 = 99999, 99999, IF(AND(AG54 &lt;&gt; """", AI54 &lt;&gt; """"), RANK(AI54, FILTER(AI:AI, AG:AG &lt;&gt; 99999), 1), """"))
"),"")</f>
        <v/>
      </c>
      <c r="AM33">
        <f t="shared" si="2"/>
        <v>1</v>
      </c>
      <c r="AN33">
        <f t="shared" si="3"/>
        <v>1</v>
      </c>
    </row>
    <row r="34" spans="1:40" ht="13" x14ac:dyDescent="0.15">
      <c r="A34" s="19">
        <v>101</v>
      </c>
      <c r="B34" s="20" t="s">
        <v>46</v>
      </c>
      <c r="C34" s="21" t="s">
        <v>44</v>
      </c>
      <c r="D34" s="22">
        <v>15</v>
      </c>
      <c r="E34" s="22">
        <v>15</v>
      </c>
      <c r="F34" s="22">
        <v>15</v>
      </c>
      <c r="G34" s="22">
        <v>10</v>
      </c>
      <c r="H34" s="31">
        <f>SUM(D34:G34)</f>
        <v>55</v>
      </c>
      <c r="I34" s="22">
        <v>5</v>
      </c>
      <c r="J34" s="22">
        <v>6.6666666670000003</v>
      </c>
      <c r="K34" s="22">
        <v>33.333333330000002</v>
      </c>
      <c r="L34" s="22">
        <v>90</v>
      </c>
      <c r="M34" s="32">
        <f>SUM(J34:L34)-I34</f>
        <v>124.999999997</v>
      </c>
      <c r="N34" s="22">
        <v>100</v>
      </c>
      <c r="O34" s="22">
        <v>109</v>
      </c>
      <c r="P34" s="33">
        <f>SUM(N34:O34)</f>
        <v>209</v>
      </c>
      <c r="Q34" s="22">
        <v>10000</v>
      </c>
      <c r="R34" s="22">
        <v>9837</v>
      </c>
      <c r="S34" s="22">
        <f>R34-Q34</f>
        <v>-163</v>
      </c>
      <c r="T34" s="22">
        <f>S34/Q34</f>
        <v>-1.6299999999999999E-2</v>
      </c>
      <c r="U34" s="34">
        <f>IF(AND(Q34 &lt;&gt; "", R34 &lt;&gt; ""), MAX(0, IF(Q34 &gt; 0, 350 - ((350 / (0.3 * Q34)) * ABS(Q34 - R34)), 0)), "")</f>
        <v>330.98333333333335</v>
      </c>
      <c r="V34" s="20" t="s">
        <v>47</v>
      </c>
      <c r="W34" s="22">
        <v>150</v>
      </c>
      <c r="X34" s="35">
        <f>IF(OR(U34 &lt;&gt; "", W34&lt;&gt; ""),U34  + W34, "0")</f>
        <v>480.98333333333335</v>
      </c>
      <c r="Y34" s="22">
        <v>30</v>
      </c>
      <c r="Z34" s="22">
        <v>50</v>
      </c>
      <c r="AA34" s="28">
        <f>Z34+Y34</f>
        <v>80</v>
      </c>
      <c r="AD34" s="29">
        <f>AB34+AC34</f>
        <v>0</v>
      </c>
      <c r="AE34" s="22">
        <f>MAX(0, H34+M34+P34+X34+AA34-AD34)</f>
        <v>949.98333333033338</v>
      </c>
      <c r="AF34" s="20">
        <v>7</v>
      </c>
      <c r="AG34" s="23">
        <v>12</v>
      </c>
      <c r="AH34" s="20">
        <v>9837</v>
      </c>
      <c r="AI34" s="20">
        <v>9643</v>
      </c>
      <c r="AJ34" s="24">
        <f t="shared" si="0"/>
        <v>194</v>
      </c>
      <c r="AK34" s="25">
        <f t="shared" si="1"/>
        <v>2.011822047080784E-2</v>
      </c>
      <c r="AL34" s="26">
        <f ca="1">IFERROR(__xludf.DUMMYFUNCTION("IF(AG55 = 99999, 99999, IF(AND(AG55 &lt;&gt; """", AI55 &lt;&gt; """"), RANK(AI55, FILTER(AI:AI, AG:AG &lt;&gt; 99999), 1), """"))
"),32)</f>
        <v>32</v>
      </c>
      <c r="AM34">
        <f t="shared" si="2"/>
        <v>1</v>
      </c>
      <c r="AN34">
        <f t="shared" si="3"/>
        <v>1</v>
      </c>
    </row>
    <row r="35" spans="1:40" ht="13" x14ac:dyDescent="0.15">
      <c r="A35" s="19">
        <v>158</v>
      </c>
      <c r="B35" s="20" t="s">
        <v>86</v>
      </c>
      <c r="C35" s="21" t="s">
        <v>44</v>
      </c>
      <c r="D35" s="22">
        <v>15</v>
      </c>
      <c r="E35" s="22">
        <v>15</v>
      </c>
      <c r="F35" s="22">
        <v>15</v>
      </c>
      <c r="G35" s="22">
        <v>15</v>
      </c>
      <c r="H35" s="31">
        <f>SUM(D35:G35)</f>
        <v>60</v>
      </c>
      <c r="I35" s="22">
        <v>20</v>
      </c>
      <c r="J35" s="22">
        <v>20</v>
      </c>
      <c r="K35" s="22">
        <v>35</v>
      </c>
      <c r="L35" s="22">
        <v>113</v>
      </c>
      <c r="M35" s="32">
        <f>SUM(J35:L35)-I35</f>
        <v>148</v>
      </c>
      <c r="N35" s="22">
        <v>91</v>
      </c>
      <c r="O35" s="22">
        <v>100</v>
      </c>
      <c r="P35" s="33">
        <f>SUM(N35:O35)</f>
        <v>191</v>
      </c>
      <c r="Q35" s="22">
        <v>10000</v>
      </c>
      <c r="R35" s="22">
        <v>9815</v>
      </c>
      <c r="S35" s="22">
        <f>R35-Q35</f>
        <v>-185</v>
      </c>
      <c r="T35" s="22">
        <f>S35/Q35</f>
        <v>-1.8499999999999999E-2</v>
      </c>
      <c r="U35" s="34">
        <f>IF(AND(Q35 &lt;&gt; "", R35 &lt;&gt; ""), MAX(0, IF(Q35 &gt; 0, 350 - ((350 / (0.3 * Q35)) * ABS(Q35 - R35)), 0)), "")</f>
        <v>328.41666666666669</v>
      </c>
      <c r="V35" s="20" t="s">
        <v>47</v>
      </c>
      <c r="W35" s="22">
        <v>150</v>
      </c>
      <c r="X35" s="35">
        <f>IF(OR(U35 &lt;&gt; "", W35&lt;&gt; ""),U35  + W35, "0")</f>
        <v>478.41666666666669</v>
      </c>
      <c r="Y35" s="22"/>
      <c r="Z35" s="22">
        <v>0</v>
      </c>
      <c r="AA35" s="28">
        <f>Z35+Y35</f>
        <v>0</v>
      </c>
      <c r="AB35" s="22"/>
      <c r="AC35" s="22">
        <v>5</v>
      </c>
      <c r="AD35" s="29">
        <f>AB35+AC35</f>
        <v>5</v>
      </c>
      <c r="AE35" s="22">
        <f>MAX(0, H35+M35+P35+X35+AA35-AD35)</f>
        <v>872.41666666666674</v>
      </c>
      <c r="AF35" s="20">
        <v>20</v>
      </c>
      <c r="AG35" s="23">
        <v>31</v>
      </c>
      <c r="AH35" s="20">
        <v>9815</v>
      </c>
      <c r="AI35" s="20">
        <v>9784</v>
      </c>
      <c r="AJ35" s="24">
        <f t="shared" si="0"/>
        <v>31</v>
      </c>
      <c r="AK35" s="25">
        <f t="shared" si="1"/>
        <v>3.1684382665576453E-3</v>
      </c>
      <c r="AL35" s="26">
        <f ca="1">IFERROR(__xludf.DUMMYFUNCTION("IF(AG56 = 99999, 99999, IF(AND(AG56 &lt;&gt; """", AI56 &lt;&gt; """"), RANK(AI56, FILTER(AI:AI, AG:AG &lt;&gt; 99999), 1), """"))
"),61)</f>
        <v>61</v>
      </c>
      <c r="AM35">
        <f t="shared" si="2"/>
        <v>1</v>
      </c>
      <c r="AN35">
        <f t="shared" si="3"/>
        <v>1</v>
      </c>
    </row>
    <row r="36" spans="1:40" ht="13" x14ac:dyDescent="0.15">
      <c r="A36" s="19">
        <v>173</v>
      </c>
      <c r="B36" s="20" t="s">
        <v>98</v>
      </c>
      <c r="C36" s="21" t="s">
        <v>44</v>
      </c>
      <c r="D36" s="22">
        <v>15</v>
      </c>
      <c r="E36" s="22">
        <v>15</v>
      </c>
      <c r="F36" s="22">
        <v>15</v>
      </c>
      <c r="G36" s="22">
        <v>15</v>
      </c>
      <c r="H36" s="31">
        <f>SUM(D36:G36)</f>
        <v>60</v>
      </c>
      <c r="I36" s="22">
        <v>0</v>
      </c>
      <c r="J36" s="22">
        <v>20</v>
      </c>
      <c r="K36" s="22">
        <v>36.333333330000002</v>
      </c>
      <c r="L36" s="22">
        <v>125</v>
      </c>
      <c r="M36" s="32">
        <f>SUM(J36:L36)-I36</f>
        <v>181.33333333000002</v>
      </c>
      <c r="N36" s="22">
        <v>80</v>
      </c>
      <c r="O36" s="22">
        <v>115</v>
      </c>
      <c r="P36" s="33">
        <f>SUM(N36:O36)</f>
        <v>195</v>
      </c>
      <c r="Q36" s="22">
        <v>10000</v>
      </c>
      <c r="R36" s="22">
        <v>9806</v>
      </c>
      <c r="S36" s="22">
        <f>R36-Q36</f>
        <v>-194</v>
      </c>
      <c r="T36" s="22">
        <f>S36/Q36</f>
        <v>-1.9400000000000001E-2</v>
      </c>
      <c r="U36" s="34">
        <f>IF(AND(Q36 &lt;&gt; "", R36 &lt;&gt; ""), MAX(0, IF(Q36 &gt; 0, 350 - ((350 / (0.3 * Q36)) * ABS(Q36 - R36)), 0)), "")</f>
        <v>327.36666666666667</v>
      </c>
      <c r="V36" s="20" t="s">
        <v>45</v>
      </c>
      <c r="W36" s="22">
        <v>150</v>
      </c>
      <c r="X36" s="35">
        <f>IF(OR(U36 &lt;&gt; "", W36&lt;&gt; ""),U36  + W36, "0")</f>
        <v>477.36666666666667</v>
      </c>
      <c r="Y36" s="22"/>
      <c r="Z36" s="22">
        <v>50</v>
      </c>
      <c r="AA36" s="28">
        <f>Z36+Y36</f>
        <v>50</v>
      </c>
      <c r="AD36" s="29">
        <f>AB36+AC36</f>
        <v>0</v>
      </c>
      <c r="AE36" s="22">
        <f>MAX(0, H36+M36+P36+X36+AA36-AD36)</f>
        <v>963.69999999666675</v>
      </c>
      <c r="AF36" s="20">
        <v>6</v>
      </c>
      <c r="AG36" s="23">
        <v>10</v>
      </c>
      <c r="AH36" s="20">
        <v>9806</v>
      </c>
      <c r="AI36" s="20">
        <v>10250</v>
      </c>
      <c r="AJ36" s="24">
        <f t="shared" si="0"/>
        <v>444</v>
      </c>
      <c r="AK36" s="25">
        <f t="shared" si="1"/>
        <v>4.3317073170731704E-2</v>
      </c>
      <c r="AL36" s="26">
        <f ca="1">IFERROR(__xludf.DUMMYFUNCTION("IF(AG57 = 99999, 99999, IF(AND(AG57 &lt;&gt; """", AI57 &lt;&gt; """"), RANK(AI57, FILTER(AI:AI, AG:AG &lt;&gt; 99999), 1), """"))
"),51)</f>
        <v>51</v>
      </c>
      <c r="AM36">
        <f t="shared" si="2"/>
        <v>1</v>
      </c>
      <c r="AN36">
        <f t="shared" si="3"/>
        <v>1</v>
      </c>
    </row>
    <row r="37" spans="1:40" ht="13" x14ac:dyDescent="0.15">
      <c r="A37" s="19">
        <v>301</v>
      </c>
      <c r="B37" s="20" t="s">
        <v>125</v>
      </c>
      <c r="C37" s="21" t="s">
        <v>44</v>
      </c>
      <c r="D37" s="22">
        <v>15</v>
      </c>
      <c r="E37" s="22">
        <v>15</v>
      </c>
      <c r="F37" s="22">
        <v>15</v>
      </c>
      <c r="G37" s="22">
        <v>15</v>
      </c>
      <c r="H37" s="31">
        <f>SUM(D37:G37)</f>
        <v>60</v>
      </c>
      <c r="I37" s="22">
        <v>200</v>
      </c>
      <c r="J37" s="22">
        <v>20</v>
      </c>
      <c r="K37" s="22">
        <v>30</v>
      </c>
      <c r="L37" s="22">
        <v>103.33333330000001</v>
      </c>
      <c r="M37" s="32">
        <f>SUM(J37:L37)-I37</f>
        <v>-46.666666700000007</v>
      </c>
      <c r="N37" s="22">
        <v>89</v>
      </c>
      <c r="O37" s="22">
        <v>105</v>
      </c>
      <c r="P37" s="33">
        <f>SUM(N37:O37)</f>
        <v>194</v>
      </c>
      <c r="Q37" s="22">
        <v>10000</v>
      </c>
      <c r="R37" s="22">
        <v>9756</v>
      </c>
      <c r="S37" s="22">
        <f>R37-Q37</f>
        <v>-244</v>
      </c>
      <c r="T37" s="22">
        <f>S37/Q37</f>
        <v>-2.4400000000000002E-2</v>
      </c>
      <c r="U37" s="34">
        <f>IF(AND(Q37 &lt;&gt; "", R37 &lt;&gt; ""), MAX(0, IF(Q37 &gt; 0, 350 - ((350 / (0.3 * Q37)) * ABS(Q37 - R37)), 0)), "")</f>
        <v>321.5333333333333</v>
      </c>
      <c r="V37" s="20" t="s">
        <v>47</v>
      </c>
      <c r="W37" s="22">
        <v>150</v>
      </c>
      <c r="X37" s="35">
        <f>IF(OR(U37 &lt;&gt; "", W37&lt;&gt; ""),U37  + W37, "0")</f>
        <v>471.5333333333333</v>
      </c>
      <c r="Y37" s="22"/>
      <c r="Z37" s="22">
        <v>0</v>
      </c>
      <c r="AA37" s="28">
        <f>Z37+Y37</f>
        <v>0</v>
      </c>
      <c r="AB37" s="22">
        <v>100</v>
      </c>
      <c r="AC37" s="22"/>
      <c r="AD37" s="29">
        <f>AB37+AC37</f>
        <v>100</v>
      </c>
      <c r="AE37" s="22">
        <f>MAX(0, H37+M37+P37+X37+AA37-AD37)</f>
        <v>578.86666663333335</v>
      </c>
      <c r="AF37" s="20">
        <v>58</v>
      </c>
      <c r="AG37" s="23">
        <v>70</v>
      </c>
      <c r="AH37" s="20">
        <v>9756</v>
      </c>
      <c r="AI37" s="20">
        <v>9800</v>
      </c>
      <c r="AJ37" s="24">
        <f t="shared" si="0"/>
        <v>44</v>
      </c>
      <c r="AK37" s="25">
        <f t="shared" si="1"/>
        <v>4.489795918367347E-3</v>
      </c>
      <c r="AL37" s="26">
        <f ca="1">IFERROR(__xludf.DUMMYFUNCTION("IF(AG58 = 99999, 99999, IF(AND(AG58 &lt;&gt; """", AI58 &lt;&gt; """"), RANK(AI58, FILTER(AI:AI, AG:AG &lt;&gt; 99999), 1), """"))
"),2)</f>
        <v>2</v>
      </c>
      <c r="AM37">
        <f t="shared" si="2"/>
        <v>1</v>
      </c>
      <c r="AN37">
        <f t="shared" si="3"/>
        <v>1</v>
      </c>
    </row>
    <row r="38" spans="1:40" ht="13" x14ac:dyDescent="0.15">
      <c r="A38" s="19">
        <v>134</v>
      </c>
      <c r="B38" s="20" t="s">
        <v>71</v>
      </c>
      <c r="C38" s="21" t="s">
        <v>44</v>
      </c>
      <c r="D38" s="22">
        <v>15</v>
      </c>
      <c r="E38" s="22">
        <v>15</v>
      </c>
      <c r="F38" s="22">
        <v>15</v>
      </c>
      <c r="G38" s="22">
        <v>15</v>
      </c>
      <c r="H38" s="31">
        <f>SUM(D38:G38)</f>
        <v>60</v>
      </c>
      <c r="I38" s="22">
        <v>200</v>
      </c>
      <c r="J38" s="22">
        <v>10</v>
      </c>
      <c r="K38" s="22">
        <v>32.5</v>
      </c>
      <c r="L38" s="22">
        <v>113</v>
      </c>
      <c r="M38" s="32">
        <f>SUM(J38:L38)-I38</f>
        <v>-44.5</v>
      </c>
      <c r="N38" s="22">
        <v>91</v>
      </c>
      <c r="O38" s="22">
        <v>105</v>
      </c>
      <c r="P38" s="33">
        <f>SUM(N38:O38)</f>
        <v>196</v>
      </c>
      <c r="Q38" s="22">
        <v>10000</v>
      </c>
      <c r="R38" s="22">
        <v>9691</v>
      </c>
      <c r="S38" s="22">
        <f>R38-Q38</f>
        <v>-309</v>
      </c>
      <c r="T38" s="22">
        <f>S38/Q38</f>
        <v>-3.09E-2</v>
      </c>
      <c r="U38" s="34">
        <f>IF(AND(Q38 &lt;&gt; "", R38 &lt;&gt; ""), MAX(0, IF(Q38 &gt; 0, 350 - ((350 / (0.3 * Q38)) * ABS(Q38 - R38)), 0)), "")</f>
        <v>313.95</v>
      </c>
      <c r="V38" s="20" t="s">
        <v>45</v>
      </c>
      <c r="W38" s="22">
        <v>150</v>
      </c>
      <c r="X38" s="35">
        <f>IF(OR(U38 &lt;&gt; "", W38&lt;&gt; ""),U38  + W38, "0")</f>
        <v>463.95</v>
      </c>
      <c r="Y38" s="22"/>
      <c r="Z38" s="22">
        <v>50</v>
      </c>
      <c r="AA38" s="28">
        <f>Z38+Y38</f>
        <v>50</v>
      </c>
      <c r="AD38" s="29">
        <f>AB38+AC38</f>
        <v>0</v>
      </c>
      <c r="AE38" s="22">
        <f>MAX(0, H38+M38+P38+X38+AA38-AD38)</f>
        <v>725.45</v>
      </c>
      <c r="AF38" s="20">
        <v>38</v>
      </c>
      <c r="AG38" s="23">
        <v>57</v>
      </c>
      <c r="AH38" s="20">
        <v>9691</v>
      </c>
      <c r="AI38" s="20">
        <v>10000</v>
      </c>
      <c r="AJ38" s="24">
        <f t="shared" si="0"/>
        <v>309</v>
      </c>
      <c r="AK38" s="25">
        <f t="shared" si="1"/>
        <v>3.09E-2</v>
      </c>
      <c r="AL38" s="26">
        <f ca="1">IFERROR(__xludf.DUMMYFUNCTION("IF(AG59 = 99999, 99999, IF(AND(AG59 &lt;&gt; """", AI59 &lt;&gt; """"), RANK(AI59, FILTER(AI:AI, AG:AG &lt;&gt; 99999), 1), """"))
"),23)</f>
        <v>23</v>
      </c>
      <c r="AM38">
        <f t="shared" si="2"/>
        <v>1</v>
      </c>
      <c r="AN38">
        <f t="shared" si="3"/>
        <v>1</v>
      </c>
    </row>
    <row r="39" spans="1:40" ht="13" x14ac:dyDescent="0.15">
      <c r="A39" s="19">
        <v>141</v>
      </c>
      <c r="B39" s="20" t="s">
        <v>75</v>
      </c>
      <c r="C39" s="21" t="s">
        <v>44</v>
      </c>
      <c r="D39" s="22">
        <v>15</v>
      </c>
      <c r="E39" s="22">
        <v>15</v>
      </c>
      <c r="F39" s="22">
        <v>15</v>
      </c>
      <c r="G39" s="22">
        <v>15</v>
      </c>
      <c r="H39" s="31">
        <f>SUM(D39:G39)</f>
        <v>60</v>
      </c>
      <c r="I39" s="22">
        <v>20</v>
      </c>
      <c r="J39" s="22">
        <v>20</v>
      </c>
      <c r="K39" s="22">
        <v>40</v>
      </c>
      <c r="L39" s="22">
        <v>123</v>
      </c>
      <c r="M39" s="32">
        <f>SUM(J39:L39)-I39</f>
        <v>163</v>
      </c>
      <c r="N39" s="22">
        <v>94</v>
      </c>
      <c r="O39" s="22">
        <v>112</v>
      </c>
      <c r="P39" s="33">
        <f>SUM(N39:O39)</f>
        <v>206</v>
      </c>
      <c r="Q39" s="22">
        <v>10000</v>
      </c>
      <c r="R39" s="22">
        <v>9654</v>
      </c>
      <c r="S39" s="22">
        <f>R39-Q39</f>
        <v>-346</v>
      </c>
      <c r="T39" s="22">
        <f>S39/Q39</f>
        <v>-3.4599999999999999E-2</v>
      </c>
      <c r="U39" s="34">
        <f>IF(AND(Q39 &lt;&gt; "", R39 &lt;&gt; ""), MAX(0, IF(Q39 &gt; 0, 350 - ((350 / (0.3 * Q39)) * ABS(Q39 - R39)), 0)), "")</f>
        <v>309.63333333333333</v>
      </c>
      <c r="V39" s="20" t="s">
        <v>47</v>
      </c>
      <c r="W39" s="22">
        <v>150</v>
      </c>
      <c r="X39" s="35">
        <f>IF(OR(U39 &lt;&gt; "", W39&lt;&gt; ""),U39  + W39, "0")</f>
        <v>459.63333333333333</v>
      </c>
      <c r="Y39" s="22">
        <v>30</v>
      </c>
      <c r="Z39" s="22">
        <v>0</v>
      </c>
      <c r="AA39" s="28">
        <f>Z39+Y39</f>
        <v>30</v>
      </c>
      <c r="AD39" s="29">
        <f>AB39+AC39</f>
        <v>0</v>
      </c>
      <c r="AE39" s="22">
        <f>MAX(0, H39+M39+P39+X39+AA39-AD39)</f>
        <v>918.63333333333333</v>
      </c>
      <c r="AF39" s="20">
        <v>11</v>
      </c>
      <c r="AG39" s="23">
        <v>15</v>
      </c>
      <c r="AH39" s="20">
        <v>9654</v>
      </c>
      <c r="AI39" s="20">
        <v>10110.67</v>
      </c>
      <c r="AJ39" s="24">
        <f t="shared" si="0"/>
        <v>456.67000000000007</v>
      </c>
      <c r="AK39" s="25">
        <f t="shared" si="1"/>
        <v>4.5167135313485658E-2</v>
      </c>
      <c r="AL39" s="26">
        <f ca="1">IFERROR(__xludf.DUMMYFUNCTION("IF(AG60 = 99999, 99999, IF(AND(AG60 &lt;&gt; """", AI60 &lt;&gt; """"), RANK(AI60, FILTER(AI:AI, AG:AG &lt;&gt; 99999), 1), """"))
"),17)</f>
        <v>17</v>
      </c>
      <c r="AM39">
        <f t="shared" si="2"/>
        <v>1</v>
      </c>
      <c r="AN39">
        <f t="shared" si="3"/>
        <v>1</v>
      </c>
    </row>
    <row r="40" spans="1:40" ht="13" x14ac:dyDescent="0.15">
      <c r="A40" s="19">
        <v>172</v>
      </c>
      <c r="B40" s="20" t="s">
        <v>97</v>
      </c>
      <c r="C40" s="21" t="s">
        <v>44</v>
      </c>
      <c r="D40" s="22">
        <v>15</v>
      </c>
      <c r="E40" s="22">
        <v>15</v>
      </c>
      <c r="F40" s="22">
        <v>15</v>
      </c>
      <c r="G40" s="22">
        <v>15</v>
      </c>
      <c r="H40" s="31">
        <f>SUM(D40:G40)</f>
        <v>60</v>
      </c>
      <c r="I40" s="22">
        <v>0</v>
      </c>
      <c r="J40" s="22">
        <v>20</v>
      </c>
      <c r="K40" s="22">
        <v>32.666666669999998</v>
      </c>
      <c r="L40" s="22">
        <v>119</v>
      </c>
      <c r="M40" s="32">
        <f>SUM(J40:L40)-I40</f>
        <v>171.66666666999998</v>
      </c>
      <c r="N40" s="22">
        <v>87</v>
      </c>
      <c r="O40" s="22">
        <v>93</v>
      </c>
      <c r="P40" s="33">
        <f>SUM(N40:O40)</f>
        <v>180</v>
      </c>
      <c r="Q40" s="22">
        <v>10000</v>
      </c>
      <c r="R40" s="22">
        <v>9611</v>
      </c>
      <c r="S40" s="22">
        <f>R40-Q40</f>
        <v>-389</v>
      </c>
      <c r="T40" s="22">
        <f>S40/Q40</f>
        <v>-3.8899999999999997E-2</v>
      </c>
      <c r="U40" s="34">
        <f>IF(AND(Q40 &lt;&gt; "", R40 &lt;&gt; ""), MAX(0, IF(Q40 &gt; 0, 350 - ((350 / (0.3 * Q40)) * ABS(Q40 - R40)), 0)), "")</f>
        <v>304.61666666666667</v>
      </c>
      <c r="V40" s="20" t="s">
        <v>47</v>
      </c>
      <c r="W40" s="22">
        <v>150</v>
      </c>
      <c r="X40" s="35">
        <f>IF(OR(U40 &lt;&gt; "", W40&lt;&gt; ""),U40  + W40, "0")</f>
        <v>454.61666666666667</v>
      </c>
      <c r="Y40" s="22"/>
      <c r="Z40" s="22">
        <v>50</v>
      </c>
      <c r="AA40" s="28">
        <f>Z40+Y40</f>
        <v>50</v>
      </c>
      <c r="AD40" s="29">
        <f>AB40+AC40</f>
        <v>0</v>
      </c>
      <c r="AE40" s="22">
        <f>MAX(0, H40+M40+P40+X40+AA40-AD40)</f>
        <v>916.2833333366666</v>
      </c>
      <c r="AF40" s="20">
        <v>12</v>
      </c>
      <c r="AG40" s="23">
        <v>21</v>
      </c>
      <c r="AH40" s="20">
        <v>9611</v>
      </c>
      <c r="AI40" s="20">
        <v>10000</v>
      </c>
      <c r="AJ40" s="24">
        <f t="shared" si="0"/>
        <v>389</v>
      </c>
      <c r="AK40" s="25">
        <f t="shared" si="1"/>
        <v>3.8899999999999997E-2</v>
      </c>
      <c r="AL40" s="26">
        <f ca="1">IFERROR(__xludf.DUMMYFUNCTION("IF(AG61 = 99999, 99999, IF(AND(AG61 &lt;&gt; """", AI61 &lt;&gt; """"), RANK(AI61, FILTER(AI:AI, AG:AG &lt;&gt; 99999), 1), """"))
"),70)</f>
        <v>70</v>
      </c>
      <c r="AM40">
        <f t="shared" si="2"/>
        <v>1</v>
      </c>
      <c r="AN40">
        <f t="shared" si="3"/>
        <v>1</v>
      </c>
    </row>
    <row r="41" spans="1:40" ht="13" x14ac:dyDescent="0.15">
      <c r="A41" s="19">
        <v>142</v>
      </c>
      <c r="B41" s="20" t="s">
        <v>76</v>
      </c>
      <c r="C41" s="21" t="s">
        <v>44</v>
      </c>
      <c r="D41" s="22">
        <v>15</v>
      </c>
      <c r="E41" s="22">
        <v>15</v>
      </c>
      <c r="F41" s="22">
        <v>15</v>
      </c>
      <c r="G41" s="22">
        <v>10</v>
      </c>
      <c r="H41" s="31">
        <f>SUM(D41:G41)</f>
        <v>55</v>
      </c>
      <c r="I41" s="22">
        <v>0</v>
      </c>
      <c r="J41" s="22">
        <v>20</v>
      </c>
      <c r="K41" s="22">
        <v>35.5</v>
      </c>
      <c r="L41" s="22">
        <v>131</v>
      </c>
      <c r="M41" s="32">
        <f>SUM(J41:L41)-I41</f>
        <v>186.5</v>
      </c>
      <c r="N41" s="22">
        <v>105</v>
      </c>
      <c r="O41" s="22">
        <v>112</v>
      </c>
      <c r="P41" s="33">
        <f>SUM(N41:O41)</f>
        <v>217</v>
      </c>
      <c r="Q41" s="22">
        <v>10000</v>
      </c>
      <c r="R41" s="22">
        <v>9598</v>
      </c>
      <c r="S41" s="22">
        <f>R41-Q41</f>
        <v>-402</v>
      </c>
      <c r="T41" s="22">
        <f>S41/Q41</f>
        <v>-4.02E-2</v>
      </c>
      <c r="U41" s="34">
        <f>IF(AND(Q41 &lt;&gt; "", R41 &lt;&gt; ""), MAX(0, IF(Q41 &gt; 0, 350 - ((350 / (0.3 * Q41)) * ABS(Q41 - R41)), 0)), "")</f>
        <v>303.10000000000002</v>
      </c>
      <c r="V41" s="20" t="s">
        <v>45</v>
      </c>
      <c r="W41" s="22">
        <v>150</v>
      </c>
      <c r="X41" s="35">
        <f>IF(OR(U41 &lt;&gt; "", W41&lt;&gt; ""),U41  + W41, "0")</f>
        <v>453.1</v>
      </c>
      <c r="Y41" s="22"/>
      <c r="Z41" s="22">
        <v>0</v>
      </c>
      <c r="AA41" s="28">
        <f>Z41+Y41</f>
        <v>0</v>
      </c>
      <c r="AD41" s="29">
        <f>AB41+AC41</f>
        <v>0</v>
      </c>
      <c r="AE41" s="22">
        <f>MAX(0, H41+M41+P41+X41+AA41-AD41)</f>
        <v>911.6</v>
      </c>
      <c r="AF41" s="20">
        <v>14</v>
      </c>
      <c r="AG41" s="23">
        <v>17</v>
      </c>
      <c r="AH41" s="20">
        <v>9598</v>
      </c>
      <c r="AI41" s="20">
        <v>10210</v>
      </c>
      <c r="AJ41" s="24">
        <f t="shared" si="0"/>
        <v>612</v>
      </c>
      <c r="AK41" s="25">
        <f t="shared" si="1"/>
        <v>5.9941234084231146E-2</v>
      </c>
      <c r="AL41" s="26">
        <f ca="1">IFERROR(__xludf.DUMMYFUNCTION("IF(AG62 = 99999, 99999, IF(AND(AG62 &lt;&gt; """", AI62 &lt;&gt; """"), RANK(AI62, FILTER(AI:AI, AG:AG &lt;&gt; 99999), 1), """"))
"),73)</f>
        <v>73</v>
      </c>
      <c r="AM41">
        <f t="shared" si="2"/>
        <v>1</v>
      </c>
      <c r="AN41">
        <f t="shared" si="3"/>
        <v>1</v>
      </c>
    </row>
    <row r="42" spans="1:40" ht="13" x14ac:dyDescent="0.15">
      <c r="A42" s="19">
        <v>155</v>
      </c>
      <c r="B42" s="20" t="s">
        <v>83</v>
      </c>
      <c r="C42" s="21" t="s">
        <v>44</v>
      </c>
      <c r="D42" s="22">
        <v>15</v>
      </c>
      <c r="E42" s="22">
        <v>15</v>
      </c>
      <c r="F42" s="22">
        <v>15</v>
      </c>
      <c r="G42" s="22">
        <v>15</v>
      </c>
      <c r="H42" s="31">
        <f>SUM(D42:G42)</f>
        <v>60</v>
      </c>
      <c r="I42" s="22">
        <v>0</v>
      </c>
      <c r="J42" s="22">
        <v>20</v>
      </c>
      <c r="K42" s="22">
        <v>35.333333330000002</v>
      </c>
      <c r="L42" s="22">
        <v>116</v>
      </c>
      <c r="M42" s="32">
        <f>SUM(J42:L42)-I42</f>
        <v>171.33333333000002</v>
      </c>
      <c r="N42" s="22">
        <v>85</v>
      </c>
      <c r="O42" s="22">
        <v>99</v>
      </c>
      <c r="P42" s="33">
        <f>SUM(N42:O42)</f>
        <v>184</v>
      </c>
      <c r="Q42" s="22">
        <v>10000</v>
      </c>
      <c r="R42" s="22">
        <v>9580</v>
      </c>
      <c r="S42" s="22">
        <f>R42-Q42</f>
        <v>-420</v>
      </c>
      <c r="T42" s="22">
        <f>S42/Q42</f>
        <v>-4.2000000000000003E-2</v>
      </c>
      <c r="U42" s="34">
        <f>IF(AND(Q42 &lt;&gt; "", R42 &lt;&gt; ""), MAX(0, IF(Q42 &gt; 0, 350 - ((350 / (0.3 * Q42)) * ABS(Q42 - R42)), 0)), "")</f>
        <v>301</v>
      </c>
      <c r="V42" s="20" t="s">
        <v>45</v>
      </c>
      <c r="W42" s="22">
        <v>150</v>
      </c>
      <c r="X42" s="35">
        <f>IF(OR(U42 &lt;&gt; "", W42&lt;&gt; ""),U42  + W42, "0")</f>
        <v>451</v>
      </c>
      <c r="Y42" s="22">
        <v>15</v>
      </c>
      <c r="Z42" s="22">
        <v>0</v>
      </c>
      <c r="AA42" s="28">
        <f>Z42+Y42</f>
        <v>15</v>
      </c>
      <c r="AD42" s="29">
        <f>AB42+AC42</f>
        <v>0</v>
      </c>
      <c r="AE42" s="22">
        <f>MAX(0, H42+M42+P42+X42+AA42-AD42)</f>
        <v>881.33333332999996</v>
      </c>
      <c r="AF42" s="20">
        <v>17</v>
      </c>
      <c r="AG42" s="23">
        <v>27</v>
      </c>
      <c r="AH42" s="20">
        <v>9580</v>
      </c>
      <c r="AI42" s="20">
        <v>10000</v>
      </c>
      <c r="AJ42" s="24">
        <f t="shared" si="0"/>
        <v>420</v>
      </c>
      <c r="AK42" s="25">
        <f t="shared" si="1"/>
        <v>4.2000000000000003E-2</v>
      </c>
      <c r="AL42" s="26">
        <f ca="1">IFERROR(__xludf.DUMMYFUNCTION("IF(AG65 = 99999, 99999, IF(AND(AG65 &lt;&gt; """", AI65 &lt;&gt; """"), RANK(AI65, FILTER(AI:AI, AG:AG &lt;&gt; 99999), 1), """"))
"),50)</f>
        <v>50</v>
      </c>
      <c r="AM42">
        <f t="shared" si="2"/>
        <v>1</v>
      </c>
      <c r="AN42">
        <f t="shared" si="3"/>
        <v>1</v>
      </c>
    </row>
    <row r="43" spans="1:40" ht="13" x14ac:dyDescent="0.15">
      <c r="A43" s="19">
        <v>137</v>
      </c>
      <c r="B43" s="20" t="s">
        <v>73</v>
      </c>
      <c r="C43" s="21" t="s">
        <v>44</v>
      </c>
      <c r="D43" s="22">
        <v>15</v>
      </c>
      <c r="E43" s="22">
        <v>15</v>
      </c>
      <c r="F43" s="22">
        <v>15</v>
      </c>
      <c r="G43" s="22">
        <v>15</v>
      </c>
      <c r="H43" s="31">
        <f>SUM(D43:G43)</f>
        <v>60</v>
      </c>
      <c r="I43" s="22">
        <v>10</v>
      </c>
      <c r="J43" s="22">
        <v>10</v>
      </c>
      <c r="K43" s="22">
        <v>33.5</v>
      </c>
      <c r="L43" s="22">
        <v>94</v>
      </c>
      <c r="M43" s="32">
        <f>SUM(J43:L43)-I43</f>
        <v>127.5</v>
      </c>
      <c r="N43" s="22">
        <v>74</v>
      </c>
      <c r="O43" s="22">
        <v>77</v>
      </c>
      <c r="P43" s="33">
        <f>SUM(N43:O43)</f>
        <v>151</v>
      </c>
      <c r="Q43" s="22">
        <v>10000</v>
      </c>
      <c r="R43" s="22">
        <v>9513</v>
      </c>
      <c r="S43" s="22">
        <f>R43-Q43</f>
        <v>-487</v>
      </c>
      <c r="T43" s="22">
        <f>S43/Q43</f>
        <v>-4.87E-2</v>
      </c>
      <c r="U43" s="34">
        <f>IF(AND(Q43 &lt;&gt; "", R43 &lt;&gt; ""), MAX(0, IF(Q43 &gt; 0, 350 - ((350 / (0.3 * Q43)) * ABS(Q43 - R43)), 0)), "")</f>
        <v>293.18333333333334</v>
      </c>
      <c r="V43" s="20" t="s">
        <v>45</v>
      </c>
      <c r="W43" s="22">
        <v>150</v>
      </c>
      <c r="X43" s="35">
        <f>IF(OR(U43 &lt;&gt; "", W43&lt;&gt; ""),U43  + W43, "0")</f>
        <v>443.18333333333334</v>
      </c>
      <c r="Y43" s="22"/>
      <c r="Z43" s="22">
        <v>0</v>
      </c>
      <c r="AA43" s="28">
        <f>Z43+Y43</f>
        <v>0</v>
      </c>
      <c r="AD43" s="29">
        <f>AB43+AC43</f>
        <v>0</v>
      </c>
      <c r="AE43" s="22">
        <f>MAX(0, H43+M43+P43+X43+AA43-AD43)</f>
        <v>781.68333333333339</v>
      </c>
      <c r="AF43" s="20">
        <v>31</v>
      </c>
      <c r="AG43" s="23">
        <v>48</v>
      </c>
      <c r="AH43" s="20">
        <v>9513</v>
      </c>
      <c r="AI43" s="20">
        <v>9971</v>
      </c>
      <c r="AJ43" s="24">
        <f t="shared" si="0"/>
        <v>458</v>
      </c>
      <c r="AK43" s="25">
        <f t="shared" si="1"/>
        <v>4.5933206298264966E-2</v>
      </c>
      <c r="AL43" s="26">
        <f ca="1">IFERROR(__xludf.DUMMYFUNCTION("IF(AG66 = 99999, 99999, IF(AND(AG66 &lt;&gt; """", AI66 &lt;&gt; """"), RANK(AI66, FILTER(AI:AI, AG:AG &lt;&gt; 99999), 1), """"))
"),52)</f>
        <v>52</v>
      </c>
      <c r="AM43">
        <f t="shared" si="2"/>
        <v>1</v>
      </c>
      <c r="AN43">
        <f t="shared" si="3"/>
        <v>1</v>
      </c>
    </row>
    <row r="44" spans="1:40" ht="13" x14ac:dyDescent="0.15">
      <c r="A44" s="19">
        <v>187</v>
      </c>
      <c r="B44" s="20" t="s">
        <v>107</v>
      </c>
      <c r="C44" s="21" t="s">
        <v>44</v>
      </c>
      <c r="D44" s="22">
        <v>15</v>
      </c>
      <c r="E44" s="22">
        <v>15</v>
      </c>
      <c r="F44" s="22">
        <v>15</v>
      </c>
      <c r="G44" s="22">
        <v>0</v>
      </c>
      <c r="H44" s="31">
        <f>SUM(D44:G44)</f>
        <v>45</v>
      </c>
      <c r="I44" s="22">
        <v>10</v>
      </c>
      <c r="J44" s="22">
        <v>19.5</v>
      </c>
      <c r="K44" s="22">
        <v>36</v>
      </c>
      <c r="L44" s="22">
        <v>129</v>
      </c>
      <c r="M44" s="32">
        <f>SUM(J44:L44)-I44</f>
        <v>174.5</v>
      </c>
      <c r="N44" s="22">
        <v>110</v>
      </c>
      <c r="O44" s="22">
        <v>109</v>
      </c>
      <c r="P44" s="33">
        <f>SUM(N44:O44)</f>
        <v>219</v>
      </c>
      <c r="Q44" s="22">
        <v>10000</v>
      </c>
      <c r="R44" s="22">
        <v>9458</v>
      </c>
      <c r="S44" s="22">
        <f>R44-Q44</f>
        <v>-542</v>
      </c>
      <c r="T44" s="22">
        <f>S44/Q44</f>
        <v>-5.4199999999999998E-2</v>
      </c>
      <c r="U44" s="34">
        <f>IF(AND(Q44 &lt;&gt; "", R44 &lt;&gt; ""), MAX(0, IF(Q44 &gt; 0, 350 - ((350 / (0.3 * Q44)) * ABS(Q44 - R44)), 0)), "")</f>
        <v>286.76666666666665</v>
      </c>
      <c r="V44" s="20" t="s">
        <v>45</v>
      </c>
      <c r="W44" s="22">
        <v>150</v>
      </c>
      <c r="X44" s="35">
        <f>IF(OR(U44 &lt;&gt; "", W44&lt;&gt; ""),U44  + W44, "0")</f>
        <v>436.76666666666665</v>
      </c>
      <c r="Y44" s="22"/>
      <c r="Z44" s="22">
        <v>0</v>
      </c>
      <c r="AA44" s="28">
        <f>Z44+Y44</f>
        <v>0</v>
      </c>
      <c r="AD44" s="29">
        <f>AB44+AC44</f>
        <v>0</v>
      </c>
      <c r="AE44" s="22">
        <f>MAX(0, H44+M44+P44+X44+AA44-AD44)</f>
        <v>875.26666666666665</v>
      </c>
      <c r="AF44" s="20">
        <v>19</v>
      </c>
      <c r="AG44" s="23">
        <v>30</v>
      </c>
      <c r="AH44" s="20">
        <v>9458</v>
      </c>
      <c r="AI44" s="20">
        <v>10000</v>
      </c>
      <c r="AJ44" s="24">
        <f t="shared" si="0"/>
        <v>542</v>
      </c>
      <c r="AK44" s="25">
        <f t="shared" si="1"/>
        <v>5.4199999999999998E-2</v>
      </c>
      <c r="AL44" s="26">
        <f ca="1">IFERROR(__xludf.DUMMYFUNCTION("IF(AG67 = 99999, 99999, IF(AND(AG67 &lt;&gt; """", AI67 &lt;&gt; """"), RANK(AI67, FILTER(AI:AI, AG:AG &lt;&gt; 99999), 1), """"))
"),120)</f>
        <v>120</v>
      </c>
      <c r="AM44">
        <f t="shared" si="2"/>
        <v>1</v>
      </c>
      <c r="AN44">
        <f t="shared" si="3"/>
        <v>1</v>
      </c>
    </row>
    <row r="45" spans="1:40" ht="13" x14ac:dyDescent="0.15">
      <c r="A45" s="19">
        <v>117</v>
      </c>
      <c r="B45" s="20" t="s">
        <v>60</v>
      </c>
      <c r="C45" s="21" t="s">
        <v>44</v>
      </c>
      <c r="D45" s="22">
        <v>15</v>
      </c>
      <c r="E45" s="22">
        <v>15</v>
      </c>
      <c r="F45" s="22">
        <v>15</v>
      </c>
      <c r="G45" s="22">
        <v>15</v>
      </c>
      <c r="H45" s="31">
        <f>SUM(D45:G45)</f>
        <v>60</v>
      </c>
      <c r="I45" s="22">
        <v>25</v>
      </c>
      <c r="J45" s="22">
        <v>19.666666670000001</v>
      </c>
      <c r="K45" s="22">
        <v>36</v>
      </c>
      <c r="L45" s="22">
        <v>127.66666669999999</v>
      </c>
      <c r="M45" s="32">
        <f>SUM(J45:L45)-I45</f>
        <v>158.33333336999999</v>
      </c>
      <c r="N45" s="22">
        <v>110</v>
      </c>
      <c r="O45" s="22">
        <v>105</v>
      </c>
      <c r="P45" s="33">
        <f>SUM(N45:O45)</f>
        <v>215</v>
      </c>
      <c r="Q45" s="22">
        <v>10000</v>
      </c>
      <c r="R45" s="22">
        <v>9448</v>
      </c>
      <c r="S45" s="22">
        <f>R45-Q45</f>
        <v>-552</v>
      </c>
      <c r="T45" s="22">
        <f>S45/Q45</f>
        <v>-5.5199999999999999E-2</v>
      </c>
      <c r="U45" s="34">
        <f>IF(AND(Q45 &lt;&gt; "", R45 &lt;&gt; ""), MAX(0, IF(Q45 &gt; 0, 350 - ((350 / (0.3 * Q45)) * ABS(Q45 - R45)), 0)), "")</f>
        <v>285.60000000000002</v>
      </c>
      <c r="V45" s="20" t="s">
        <v>45</v>
      </c>
      <c r="W45" s="22">
        <v>150</v>
      </c>
      <c r="X45" s="35">
        <f>IF(OR(U45 &lt;&gt; "", W45&lt;&gt; ""),U45  + W45, "0")</f>
        <v>435.6</v>
      </c>
      <c r="Y45" s="22"/>
      <c r="Z45" s="22">
        <v>50</v>
      </c>
      <c r="AA45" s="28">
        <f>Z45+Y45</f>
        <v>50</v>
      </c>
      <c r="AD45" s="29">
        <f>AB45+AC45</f>
        <v>0</v>
      </c>
      <c r="AE45" s="22">
        <f>MAX(0, H45+M45+P45+X45+AA45-AD45)</f>
        <v>918.93333337000001</v>
      </c>
      <c r="AF45" s="20">
        <v>10</v>
      </c>
      <c r="AG45" s="23">
        <v>20</v>
      </c>
      <c r="AH45" s="20">
        <v>9448</v>
      </c>
      <c r="AI45" s="20">
        <v>10018</v>
      </c>
      <c r="AJ45" s="24">
        <f t="shared" si="0"/>
        <v>570</v>
      </c>
      <c r="AK45" s="25">
        <f t="shared" si="1"/>
        <v>5.689758434817329E-2</v>
      </c>
      <c r="AL45" s="26">
        <f ca="1">IFERROR(__xludf.DUMMYFUNCTION("IF(AG68 = 99999, 99999, IF(AND(AG68 &lt;&gt; """", AI68 &lt;&gt; """"), RANK(AI68, FILTER(AI:AI, AG:AG &lt;&gt; 99999), 1), """"))
"),27)</f>
        <v>27</v>
      </c>
      <c r="AM45">
        <f t="shared" si="2"/>
        <v>1</v>
      </c>
      <c r="AN45">
        <f t="shared" si="3"/>
        <v>1</v>
      </c>
    </row>
    <row r="46" spans="1:40" ht="13" x14ac:dyDescent="0.15">
      <c r="A46" s="19">
        <v>178</v>
      </c>
      <c r="B46" s="20" t="s">
        <v>101</v>
      </c>
      <c r="C46" s="21" t="s">
        <v>44</v>
      </c>
      <c r="D46" s="22">
        <v>15</v>
      </c>
      <c r="E46" s="22">
        <v>15</v>
      </c>
      <c r="F46" s="22">
        <v>15</v>
      </c>
      <c r="G46" s="22">
        <v>15</v>
      </c>
      <c r="H46" s="31">
        <f>SUM(D46:G46)</f>
        <v>60</v>
      </c>
      <c r="I46" s="22">
        <v>205</v>
      </c>
      <c r="J46" s="22">
        <v>0</v>
      </c>
      <c r="K46" s="22">
        <v>0</v>
      </c>
      <c r="L46" s="22">
        <v>0</v>
      </c>
      <c r="M46" s="32">
        <f>SUM(J46:L46)-I46</f>
        <v>-205</v>
      </c>
      <c r="N46" s="22">
        <v>63</v>
      </c>
      <c r="O46" s="22">
        <v>85</v>
      </c>
      <c r="P46" s="33">
        <f>SUM(N46:O46)</f>
        <v>148</v>
      </c>
      <c r="Q46" s="22">
        <v>10000</v>
      </c>
      <c r="R46" s="22">
        <v>9435</v>
      </c>
      <c r="S46" s="22">
        <f>R46-Q46</f>
        <v>-565</v>
      </c>
      <c r="T46" s="22">
        <f>S46/Q46</f>
        <v>-5.6500000000000002E-2</v>
      </c>
      <c r="U46" s="34">
        <f>IF(AND(Q46 &lt;&gt; "", R46 &lt;&gt; ""), MAX(0, IF(Q46 &gt; 0, 350 - ((350 / (0.3 * Q46)) * ABS(Q46 - R46)), 0)), "")</f>
        <v>284.08333333333331</v>
      </c>
      <c r="V46" s="20" t="s">
        <v>47</v>
      </c>
      <c r="W46" s="22">
        <v>150</v>
      </c>
      <c r="X46" s="35">
        <f>IF(OR(U46 &lt;&gt; "", W46&lt;&gt; ""),U46  + W46, "0")</f>
        <v>434.08333333333331</v>
      </c>
      <c r="Y46" s="22"/>
      <c r="Z46" s="22">
        <v>0</v>
      </c>
      <c r="AA46" s="28">
        <f>Z46+Y46</f>
        <v>0</v>
      </c>
      <c r="AD46" s="29">
        <f>AB46+AC46</f>
        <v>0</v>
      </c>
      <c r="AE46" s="22">
        <f>MAX(0, H46+M46+P46+X46+AA46-AD46)</f>
        <v>437.08333333333331</v>
      </c>
      <c r="AF46" s="20">
        <v>70</v>
      </c>
      <c r="AG46" s="23">
        <v>114</v>
      </c>
      <c r="AH46" s="20">
        <v>9435</v>
      </c>
      <c r="AI46" s="20">
        <v>9898</v>
      </c>
      <c r="AJ46" s="24">
        <f t="shared" si="0"/>
        <v>463</v>
      </c>
      <c r="AK46" s="25">
        <f t="shared" si="1"/>
        <v>4.6777126692261063E-2</v>
      </c>
      <c r="AL46" s="26">
        <f ca="1">IFERROR(__xludf.DUMMYFUNCTION("IF(AG69 = 99999, 99999, IF(AND(AG69 &lt;&gt; """", AI69 &lt;&gt; """"), RANK(AI69, FILTER(AI:AI, AG:AG &lt;&gt; 99999), 1), """"))
"),13)</f>
        <v>13</v>
      </c>
      <c r="AM46">
        <f t="shared" si="2"/>
        <v>1</v>
      </c>
      <c r="AN46">
        <f t="shared" si="3"/>
        <v>1</v>
      </c>
    </row>
    <row r="47" spans="1:40" ht="13" x14ac:dyDescent="0.15">
      <c r="A47" s="19">
        <v>166</v>
      </c>
      <c r="B47" s="20" t="s">
        <v>91</v>
      </c>
      <c r="C47" s="21" t="s">
        <v>44</v>
      </c>
      <c r="D47" s="22">
        <v>15</v>
      </c>
      <c r="E47" s="22">
        <v>15</v>
      </c>
      <c r="F47" s="22">
        <v>15</v>
      </c>
      <c r="G47" s="22">
        <v>0</v>
      </c>
      <c r="H47" s="31">
        <f>SUM(D47:G47)</f>
        <v>45</v>
      </c>
      <c r="I47" s="22">
        <v>205</v>
      </c>
      <c r="J47" s="22">
        <v>0</v>
      </c>
      <c r="K47" s="22">
        <v>28.666666670000001</v>
      </c>
      <c r="L47" s="22">
        <v>92.666666669999998</v>
      </c>
      <c r="M47" s="32">
        <f>SUM(J47:L47)-I47</f>
        <v>-83.666666660000004</v>
      </c>
      <c r="N47" s="22">
        <v>101</v>
      </c>
      <c r="O47" s="22">
        <v>111</v>
      </c>
      <c r="P47" s="33">
        <f>SUM(N47:O47)</f>
        <v>212</v>
      </c>
      <c r="Q47" s="22">
        <v>10000</v>
      </c>
      <c r="R47" s="22">
        <v>9326</v>
      </c>
      <c r="S47" s="22">
        <f>R47-Q47</f>
        <v>-674</v>
      </c>
      <c r="T47" s="22">
        <f>S47/Q47</f>
        <v>-6.7400000000000002E-2</v>
      </c>
      <c r="U47" s="34">
        <f>IF(AND(Q47 &lt;&gt; "", R47 &lt;&gt; ""), MAX(0, IF(Q47 &gt; 0, 350 - ((350 / (0.3 * Q47)) * ABS(Q47 - R47)), 0)), "")</f>
        <v>271.36666666666667</v>
      </c>
      <c r="V47" s="20" t="s">
        <v>47</v>
      </c>
      <c r="W47" s="22">
        <v>150</v>
      </c>
      <c r="X47" s="35">
        <f>IF(OR(U47 &lt;&gt; "", W47&lt;&gt; ""),U47  + W47, "0")</f>
        <v>421.36666666666667</v>
      </c>
      <c r="Y47" s="22"/>
      <c r="Z47" s="22">
        <v>50</v>
      </c>
      <c r="AA47" s="28">
        <f>Z47+Y47</f>
        <v>50</v>
      </c>
      <c r="AD47" s="29">
        <f>AB47+AC47</f>
        <v>0</v>
      </c>
      <c r="AE47" s="22">
        <f>MAX(0, H47+M47+P47+X47+AA47-AD47)</f>
        <v>644.70000000666664</v>
      </c>
      <c r="AF47" s="20">
        <v>49</v>
      </c>
      <c r="AG47" s="23">
        <v>74</v>
      </c>
      <c r="AH47" s="20">
        <v>9326</v>
      </c>
      <c r="AI47" s="20">
        <v>10000</v>
      </c>
      <c r="AJ47" s="24">
        <f t="shared" si="0"/>
        <v>674</v>
      </c>
      <c r="AK47" s="25">
        <f t="shared" si="1"/>
        <v>6.7400000000000002E-2</v>
      </c>
      <c r="AL47" s="26">
        <f ca="1">IFERROR(__xludf.DUMMYFUNCTION("IF(AG70 = 99999, 99999, IF(AND(AG70 &lt;&gt; """", AI70 &lt;&gt; """"), RANK(AI70, FILTER(AI:AI, AG:AG &lt;&gt; 99999), 1), """"))
"),46)</f>
        <v>46</v>
      </c>
      <c r="AM47">
        <f t="shared" si="2"/>
        <v>1</v>
      </c>
      <c r="AN47">
        <f t="shared" si="3"/>
        <v>1</v>
      </c>
    </row>
    <row r="48" spans="1:40" ht="13" x14ac:dyDescent="0.15">
      <c r="A48" s="19">
        <v>180</v>
      </c>
      <c r="B48" s="20" t="s">
        <v>103</v>
      </c>
      <c r="C48" s="21" t="s">
        <v>44</v>
      </c>
      <c r="D48" s="22">
        <v>15</v>
      </c>
      <c r="E48" s="22">
        <v>0</v>
      </c>
      <c r="F48" s="22">
        <v>0</v>
      </c>
      <c r="G48" s="22">
        <v>15</v>
      </c>
      <c r="H48" s="31">
        <f>SUM(D48:G48)</f>
        <v>30</v>
      </c>
      <c r="I48" s="22">
        <v>5</v>
      </c>
      <c r="J48" s="22">
        <v>20</v>
      </c>
      <c r="K48" s="22">
        <v>29</v>
      </c>
      <c r="L48" s="22">
        <v>121</v>
      </c>
      <c r="M48" s="32">
        <f>SUM(J48:L48)-I48</f>
        <v>165</v>
      </c>
      <c r="N48" s="22">
        <v>80</v>
      </c>
      <c r="O48" s="22">
        <v>107</v>
      </c>
      <c r="P48" s="33">
        <f>SUM(N48:O48)</f>
        <v>187</v>
      </c>
      <c r="Q48" s="22">
        <v>10000</v>
      </c>
      <c r="R48" s="22">
        <v>9299</v>
      </c>
      <c r="S48" s="22">
        <f>R48-Q48</f>
        <v>-701</v>
      </c>
      <c r="T48" s="22">
        <f>S48/Q48</f>
        <v>-7.0099999999999996E-2</v>
      </c>
      <c r="U48" s="34">
        <f>IF(AND(Q48 &lt;&gt; "", R48 &lt;&gt; ""), MAX(0, IF(Q48 &gt; 0, 350 - ((350 / (0.3 * Q48)) * ABS(Q48 - R48)), 0)), "")</f>
        <v>268.2166666666667</v>
      </c>
      <c r="V48" s="20" t="s">
        <v>48</v>
      </c>
      <c r="W48" s="22"/>
      <c r="X48" s="35">
        <f>IF(OR(U48 &lt;&gt; "", W48&lt;&gt; ""),U48  + W48, "0")</f>
        <v>268.2166666666667</v>
      </c>
      <c r="Y48" s="22"/>
      <c r="Z48" s="22">
        <v>0</v>
      </c>
      <c r="AA48" s="28">
        <f>Z48+Y48</f>
        <v>0</v>
      </c>
      <c r="AD48" s="29">
        <f>AB48+AC48</f>
        <v>0</v>
      </c>
      <c r="AE48" s="22">
        <f>MAX(0, H48+M48+P48+X48+AA48-AD48)</f>
        <v>650.2166666666667</v>
      </c>
      <c r="AF48" s="20">
        <v>48</v>
      </c>
      <c r="AG48" s="23">
        <v>77</v>
      </c>
      <c r="AH48" s="20">
        <v>9299</v>
      </c>
      <c r="AI48" s="20">
        <v>9826</v>
      </c>
      <c r="AJ48" s="24">
        <f t="shared" si="0"/>
        <v>527</v>
      </c>
      <c r="AK48" s="25">
        <f t="shared" si="1"/>
        <v>5.3633217993079588E-2</v>
      </c>
      <c r="AL48" s="26">
        <f ca="1">IFERROR(__xludf.DUMMYFUNCTION("IF(AG71 = 99999, 99999, IF(AND(AG71 &lt;&gt; """", AI71 &lt;&gt; """"), RANK(AI71, FILTER(AI:AI, AG:AG &lt;&gt; 99999), 1), """"))
"),29)</f>
        <v>29</v>
      </c>
      <c r="AM48">
        <f t="shared" si="2"/>
        <v>0</v>
      </c>
      <c r="AN48">
        <f t="shared" si="3"/>
        <v>1</v>
      </c>
    </row>
    <row r="49" spans="1:40" ht="13" x14ac:dyDescent="0.15">
      <c r="A49" s="19">
        <v>150</v>
      </c>
      <c r="B49" s="20" t="s">
        <v>82</v>
      </c>
      <c r="C49" s="21" t="s">
        <v>44</v>
      </c>
      <c r="D49" s="22">
        <v>15</v>
      </c>
      <c r="E49" s="22">
        <v>15</v>
      </c>
      <c r="F49" s="22">
        <v>15</v>
      </c>
      <c r="G49" s="22">
        <v>0</v>
      </c>
      <c r="H49" s="31">
        <f>SUM(D49:G49)</f>
        <v>45</v>
      </c>
      <c r="I49" s="22">
        <v>0</v>
      </c>
      <c r="J49" s="22">
        <v>20</v>
      </c>
      <c r="K49" s="22">
        <v>36</v>
      </c>
      <c r="L49" s="22">
        <v>119</v>
      </c>
      <c r="M49" s="32">
        <f>SUM(J49:L49)-I49</f>
        <v>175</v>
      </c>
      <c r="N49" s="22">
        <v>108</v>
      </c>
      <c r="O49" s="22">
        <v>111</v>
      </c>
      <c r="P49" s="33">
        <f>SUM(N49:O49)</f>
        <v>219</v>
      </c>
      <c r="Q49" s="22">
        <v>10000</v>
      </c>
      <c r="R49" s="22">
        <v>9137</v>
      </c>
      <c r="S49" s="22">
        <f>R49-Q49</f>
        <v>-863</v>
      </c>
      <c r="T49" s="22">
        <f>S49/Q49</f>
        <v>-8.6300000000000002E-2</v>
      </c>
      <c r="U49" s="34">
        <f>IF(AND(Q49 &lt;&gt; "", R49 &lt;&gt; ""), MAX(0, IF(Q49 &gt; 0, 350 - ((350 / (0.3 * Q49)) * ABS(Q49 - R49)), 0)), "")</f>
        <v>249.31666666666666</v>
      </c>
      <c r="V49" s="20" t="s">
        <v>48</v>
      </c>
      <c r="W49" s="22"/>
      <c r="X49" s="35">
        <f>IF(OR(U49 &lt;&gt; "", W49&lt;&gt; ""),U49  + W49, "0")</f>
        <v>249.31666666666666</v>
      </c>
      <c r="Y49" s="22">
        <v>30</v>
      </c>
      <c r="Z49" s="22">
        <v>0</v>
      </c>
      <c r="AA49" s="28">
        <f>Z49+Y49</f>
        <v>30</v>
      </c>
      <c r="AD49" s="29">
        <f>AB49+AC49</f>
        <v>0</v>
      </c>
      <c r="AE49" s="22">
        <f>MAX(0, H49+M49+P49+X49+AA49-AD49)</f>
        <v>718.31666666666661</v>
      </c>
      <c r="AF49" s="20">
        <v>41</v>
      </c>
      <c r="AG49" s="23">
        <v>60</v>
      </c>
      <c r="AH49" s="20">
        <v>9137</v>
      </c>
      <c r="AI49" s="20">
        <v>9983</v>
      </c>
      <c r="AJ49" s="24">
        <f t="shared" si="0"/>
        <v>846</v>
      </c>
      <c r="AK49" s="25">
        <f t="shared" si="1"/>
        <v>8.4744064910347597E-2</v>
      </c>
      <c r="AL49" s="26">
        <f ca="1">IFERROR(__xludf.DUMMYFUNCTION("IF(AG72 = 99999, 99999, IF(AND(AG72 &lt;&gt; """", AI72 &lt;&gt; """"), RANK(AI72, FILTER(AI:AI, AG:AG &lt;&gt; 99999), 1), """"))
"),33)</f>
        <v>33</v>
      </c>
      <c r="AM49">
        <f t="shared" si="2"/>
        <v>0</v>
      </c>
      <c r="AN49">
        <f t="shared" si="3"/>
        <v>1</v>
      </c>
    </row>
    <row r="50" spans="1:40" ht="13" x14ac:dyDescent="0.15">
      <c r="A50" s="19">
        <v>190</v>
      </c>
      <c r="B50" s="20" t="s">
        <v>109</v>
      </c>
      <c r="C50" s="21" t="s">
        <v>44</v>
      </c>
      <c r="D50" s="22">
        <v>15</v>
      </c>
      <c r="E50" s="22">
        <v>15</v>
      </c>
      <c r="F50" s="22">
        <v>15</v>
      </c>
      <c r="G50" s="22">
        <v>15</v>
      </c>
      <c r="H50" s="31">
        <f>SUM(D50:G50)</f>
        <v>60</v>
      </c>
      <c r="I50" s="22">
        <v>0</v>
      </c>
      <c r="J50" s="22">
        <v>20</v>
      </c>
      <c r="K50" s="22">
        <v>30</v>
      </c>
      <c r="L50" s="22">
        <v>100</v>
      </c>
      <c r="M50" s="32">
        <f>SUM(J50:L50)-I50</f>
        <v>150</v>
      </c>
      <c r="N50" s="22">
        <v>91</v>
      </c>
      <c r="O50" s="22">
        <v>112</v>
      </c>
      <c r="P50" s="33">
        <f>SUM(N50:O50)</f>
        <v>203</v>
      </c>
      <c r="Q50" s="22">
        <v>10000</v>
      </c>
      <c r="R50" s="22">
        <v>9133</v>
      </c>
      <c r="S50" s="22">
        <f>R50-Q50</f>
        <v>-867</v>
      </c>
      <c r="T50" s="22">
        <f>S50/Q50</f>
        <v>-8.6699999999999999E-2</v>
      </c>
      <c r="U50" s="34">
        <f>IF(AND(Q50 &lt;&gt; "", R50 &lt;&gt; ""), MAX(0, IF(Q50 &gt; 0, 350 - ((350 / (0.3 * Q50)) * ABS(Q50 - R50)), 0)), "")</f>
        <v>248.85</v>
      </c>
      <c r="V50" s="20" t="s">
        <v>45</v>
      </c>
      <c r="W50" s="22">
        <v>150</v>
      </c>
      <c r="X50" s="35">
        <f>IF(OR(U50 &lt;&gt; "", W50&lt;&gt; ""),U50  + W50, "0")</f>
        <v>398.85</v>
      </c>
      <c r="Y50" s="22">
        <v>15</v>
      </c>
      <c r="Z50" s="22">
        <v>50</v>
      </c>
      <c r="AA50" s="28">
        <f>Z50+Y50</f>
        <v>65</v>
      </c>
      <c r="AD50" s="29">
        <f>AB50+AC50</f>
        <v>0</v>
      </c>
      <c r="AE50" s="22">
        <f>MAX(0, H50+M50+P50+X50+AA50-AD50)</f>
        <v>876.85</v>
      </c>
      <c r="AF50" s="20">
        <v>18</v>
      </c>
      <c r="AG50" s="23">
        <v>29</v>
      </c>
      <c r="AH50" s="20">
        <v>9133</v>
      </c>
      <c r="AI50" s="20">
        <v>10750</v>
      </c>
      <c r="AJ50" s="24">
        <f t="shared" si="0"/>
        <v>1617</v>
      </c>
      <c r="AK50" s="25">
        <f t="shared" si="1"/>
        <v>0.1504186046511628</v>
      </c>
      <c r="AL50" s="26">
        <f ca="1">IFERROR(__xludf.DUMMYFUNCTION("IF(AG73 = 99999, 99999, IF(AND(AG73 &lt;&gt; """", AI73 &lt;&gt; """"), RANK(AI73, FILTER(AI:AI, AG:AG &lt;&gt; 99999), 1), """"))
"),49)</f>
        <v>49</v>
      </c>
      <c r="AM50">
        <f t="shared" si="2"/>
        <v>1</v>
      </c>
      <c r="AN50">
        <f t="shared" si="3"/>
        <v>1</v>
      </c>
    </row>
    <row r="51" spans="1:40" ht="13" x14ac:dyDescent="0.15">
      <c r="A51" s="19">
        <v>108</v>
      </c>
      <c r="B51" s="20" t="s">
        <v>53</v>
      </c>
      <c r="C51" s="21" t="s">
        <v>44</v>
      </c>
      <c r="D51" s="22">
        <v>15</v>
      </c>
      <c r="E51" s="22">
        <v>15</v>
      </c>
      <c r="F51" s="22">
        <v>15</v>
      </c>
      <c r="G51" s="22">
        <v>15</v>
      </c>
      <c r="H51" s="31">
        <f>SUM(D51:G51)</f>
        <v>60</v>
      </c>
      <c r="I51" s="22">
        <v>225</v>
      </c>
      <c r="J51" s="22">
        <v>20</v>
      </c>
      <c r="K51" s="22">
        <v>33.333333330000002</v>
      </c>
      <c r="L51" s="22">
        <v>116.66666669999999</v>
      </c>
      <c r="M51" s="32">
        <f>SUM(J51:L51)-I51</f>
        <v>-54.999999970000005</v>
      </c>
      <c r="N51" s="22">
        <v>108</v>
      </c>
      <c r="O51" s="22">
        <v>109</v>
      </c>
      <c r="P51" s="33">
        <f>SUM(N51:O51)</f>
        <v>217</v>
      </c>
      <c r="Q51" s="22">
        <v>10000</v>
      </c>
      <c r="R51" s="22">
        <v>9087</v>
      </c>
      <c r="S51" s="22">
        <f>R51-Q51</f>
        <v>-913</v>
      </c>
      <c r="T51" s="22">
        <f>S51/Q51</f>
        <v>-9.1300000000000006E-2</v>
      </c>
      <c r="U51" s="34">
        <f>IF(AND(Q51 &lt;&gt; "", R51 &lt;&gt; ""), MAX(0, IF(Q51 &gt; 0, 350 - ((350 / (0.3 * Q51)) * ABS(Q51 - R51)), 0)), "")</f>
        <v>243.48333333333335</v>
      </c>
      <c r="V51" s="20" t="s">
        <v>48</v>
      </c>
      <c r="W51" s="22"/>
      <c r="X51" s="35">
        <f>IF(OR(U51 &lt;&gt; "", W51&lt;&gt; ""),U51  + W51, "0")</f>
        <v>243.48333333333335</v>
      </c>
      <c r="Y51" s="22"/>
      <c r="Z51" s="22">
        <v>0</v>
      </c>
      <c r="AA51" s="28">
        <f>Z51+Y51</f>
        <v>0</v>
      </c>
      <c r="AD51" s="29">
        <f>AB51+AC51</f>
        <v>0</v>
      </c>
      <c r="AE51" s="22">
        <f>MAX(0, H51+M51+P51+X51+AA51-AD51)</f>
        <v>465.48333336333337</v>
      </c>
      <c r="AF51" s="20">
        <v>65</v>
      </c>
      <c r="AG51" s="23">
        <v>111</v>
      </c>
      <c r="AH51" s="20">
        <v>9087</v>
      </c>
      <c r="AI51" s="20">
        <v>10239</v>
      </c>
      <c r="AJ51" s="24">
        <f t="shared" si="0"/>
        <v>1152</v>
      </c>
      <c r="AK51" s="25">
        <f t="shared" si="1"/>
        <v>0.11251098740111339</v>
      </c>
      <c r="AL51" s="26" t="str">
        <f ca="1">IFERROR(__xludf.DUMMYFUNCTION("IF(AG74 = 99999, 99999, IF(AND(AG74 &lt;&gt; """", AI74 &lt;&gt; """"), RANK(AI74, FILTER(AI:AI, AG:AG &lt;&gt; 99999), 1), """"))
"),"")</f>
        <v/>
      </c>
      <c r="AM51">
        <f t="shared" si="2"/>
        <v>0</v>
      </c>
      <c r="AN51">
        <f t="shared" si="3"/>
        <v>1</v>
      </c>
    </row>
    <row r="52" spans="1:40" ht="13" x14ac:dyDescent="0.15">
      <c r="A52" s="19">
        <v>120</v>
      </c>
      <c r="B52" s="20" t="s">
        <v>62</v>
      </c>
      <c r="C52" s="21" t="s">
        <v>44</v>
      </c>
      <c r="D52" s="22">
        <v>15</v>
      </c>
      <c r="E52" s="22">
        <v>0</v>
      </c>
      <c r="F52" s="22">
        <v>15</v>
      </c>
      <c r="G52" s="22">
        <v>0</v>
      </c>
      <c r="H52" s="31">
        <f>SUM(D52:G52)</f>
        <v>30</v>
      </c>
      <c r="I52" s="22">
        <v>235</v>
      </c>
      <c r="J52" s="22">
        <v>15</v>
      </c>
      <c r="K52" s="22">
        <v>30.75</v>
      </c>
      <c r="L52" s="22">
        <v>125.5</v>
      </c>
      <c r="M52" s="32">
        <f>SUM(J52:L52)-I52</f>
        <v>-63.75</v>
      </c>
      <c r="N52" s="22">
        <v>80</v>
      </c>
      <c r="O52" s="22">
        <v>107</v>
      </c>
      <c r="P52" s="33">
        <f>SUM(N52:O52)</f>
        <v>187</v>
      </c>
      <c r="Q52" s="22">
        <v>10000</v>
      </c>
      <c r="R52" s="22">
        <v>9023</v>
      </c>
      <c r="S52" s="22">
        <f>R52-Q52</f>
        <v>-977</v>
      </c>
      <c r="T52" s="22">
        <f>S52/Q52</f>
        <v>-9.7699999999999995E-2</v>
      </c>
      <c r="U52" s="34">
        <f>IF(AND(Q52 &lt;&gt; "", R52 &lt;&gt; ""), MAX(0, IF(Q52 &gt; 0, 350 - ((350 / (0.3 * Q52)) * ABS(Q52 - R52)), 0)), "")</f>
        <v>236.01666666666665</v>
      </c>
      <c r="V52" s="20" t="s">
        <v>45</v>
      </c>
      <c r="W52" s="22">
        <v>150</v>
      </c>
      <c r="X52" s="35">
        <f>IF(OR(U52 &lt;&gt; "", W52&lt;&gt; ""),U52  + W52, "0")</f>
        <v>386.01666666666665</v>
      </c>
      <c r="Y52" s="22"/>
      <c r="Z52" s="22">
        <v>50</v>
      </c>
      <c r="AA52" s="28">
        <f>Z52+Y52</f>
        <v>50</v>
      </c>
      <c r="AD52" s="29">
        <f>AB52+AC52</f>
        <v>0</v>
      </c>
      <c r="AE52" s="22">
        <f>MAX(0, H52+M52+P52+X52+AA52-AD52)</f>
        <v>589.26666666666665</v>
      </c>
      <c r="AF52" s="20">
        <v>56</v>
      </c>
      <c r="AG52" s="23">
        <v>84</v>
      </c>
      <c r="AH52" s="20">
        <v>9023</v>
      </c>
      <c r="AI52" s="20">
        <v>10005</v>
      </c>
      <c r="AJ52" s="24">
        <f t="shared" si="0"/>
        <v>982</v>
      </c>
      <c r="AK52" s="25">
        <f t="shared" si="1"/>
        <v>9.8150924537731138E-2</v>
      </c>
      <c r="AL52" s="26">
        <f ca="1">IFERROR(__xludf.DUMMYFUNCTION("IF(AG76 = 99999, 99999, IF(AND(AG76 &lt;&gt; """", AI76 &lt;&gt; """"), RANK(AI76, FILTER(AI:AI, AG:AG &lt;&gt; 99999), 1), """"))
"),77)</f>
        <v>77</v>
      </c>
      <c r="AM52">
        <f t="shared" si="2"/>
        <v>1</v>
      </c>
      <c r="AN52">
        <f t="shared" si="3"/>
        <v>1</v>
      </c>
    </row>
    <row r="53" spans="1:40" ht="13" x14ac:dyDescent="0.15">
      <c r="A53" s="19">
        <v>104</v>
      </c>
      <c r="B53" s="20" t="s">
        <v>50</v>
      </c>
      <c r="C53" s="21" t="s">
        <v>44</v>
      </c>
      <c r="D53" s="22">
        <v>15</v>
      </c>
      <c r="E53" s="22">
        <v>15</v>
      </c>
      <c r="F53" s="22">
        <v>15</v>
      </c>
      <c r="G53" s="22">
        <v>10</v>
      </c>
      <c r="H53" s="31">
        <f>SUM(D53:G53)</f>
        <v>55</v>
      </c>
      <c r="I53" s="22">
        <v>60</v>
      </c>
      <c r="J53" s="22">
        <v>13.33333333</v>
      </c>
      <c r="K53" s="22">
        <v>32.333333330000002</v>
      </c>
      <c r="L53" s="22">
        <v>96.333333330000002</v>
      </c>
      <c r="M53" s="32">
        <f>SUM(J53:L53)-I53</f>
        <v>81.999999989999992</v>
      </c>
      <c r="N53" s="22">
        <v>94</v>
      </c>
      <c r="O53" s="22">
        <v>112</v>
      </c>
      <c r="P53" s="33">
        <f>SUM(N53:O53)</f>
        <v>206</v>
      </c>
      <c r="Q53" s="22">
        <v>10000</v>
      </c>
      <c r="R53" s="22">
        <v>8982</v>
      </c>
      <c r="S53" s="22">
        <f>R53-Q53</f>
        <v>-1018</v>
      </c>
      <c r="T53" s="22">
        <f>S53/Q53</f>
        <v>-0.1018</v>
      </c>
      <c r="U53" s="34">
        <f>IF(AND(Q53 &lt;&gt; "", R53 &lt;&gt; ""), MAX(0, IF(Q53 &gt; 0, 350 - ((350 / (0.3 * Q53)) * ABS(Q53 - R53)), 0)), "")</f>
        <v>231.23333333333335</v>
      </c>
      <c r="V53" s="20" t="s">
        <v>45</v>
      </c>
      <c r="W53" s="22">
        <v>150</v>
      </c>
      <c r="X53" s="35">
        <f>IF(OR(U53 &lt;&gt; "", W53&lt;&gt; ""),U53  + W53, "0")</f>
        <v>381.23333333333335</v>
      </c>
      <c r="Y53" s="22"/>
      <c r="Z53" s="22">
        <v>50</v>
      </c>
      <c r="AA53" s="28">
        <f>Z53+Y53</f>
        <v>50</v>
      </c>
      <c r="AD53" s="29">
        <f>AB53+AC53</f>
        <v>0</v>
      </c>
      <c r="AE53" s="22">
        <f>MAX(0, H53+M53+P53+X53+AA53-AD53)</f>
        <v>774.23333332333334</v>
      </c>
      <c r="AF53" s="20">
        <v>32</v>
      </c>
      <c r="AG53" s="23">
        <v>47</v>
      </c>
      <c r="AH53" s="20">
        <v>8982</v>
      </c>
      <c r="AI53" s="20">
        <v>10000</v>
      </c>
      <c r="AJ53" s="24">
        <f t="shared" si="0"/>
        <v>1018</v>
      </c>
      <c r="AK53" s="25">
        <f t="shared" si="1"/>
        <v>0.1018</v>
      </c>
      <c r="AL53" s="26">
        <f ca="1">IFERROR(__xludf.DUMMYFUNCTION("IF(AG77 = 99999, 99999, IF(AND(AG77 &lt;&gt; """", AI77 &lt;&gt; """"), RANK(AI77, FILTER(AI:AI, AG:AG &lt;&gt; 99999), 1), """"))
"),36)</f>
        <v>36</v>
      </c>
      <c r="AM53">
        <f t="shared" si="2"/>
        <v>1</v>
      </c>
      <c r="AN53">
        <f t="shared" si="3"/>
        <v>1</v>
      </c>
    </row>
    <row r="54" spans="1:40" ht="13" x14ac:dyDescent="0.15">
      <c r="A54" s="19">
        <v>156</v>
      </c>
      <c r="B54" s="20" t="s">
        <v>84</v>
      </c>
      <c r="C54" s="21" t="s">
        <v>44</v>
      </c>
      <c r="D54" s="22">
        <v>15</v>
      </c>
      <c r="E54" s="22">
        <v>15</v>
      </c>
      <c r="F54" s="22">
        <v>0</v>
      </c>
      <c r="G54" s="22">
        <v>0</v>
      </c>
      <c r="H54" s="31">
        <f>SUM(D54:G54)</f>
        <v>30</v>
      </c>
      <c r="I54" s="22">
        <v>240</v>
      </c>
      <c r="J54" s="22">
        <v>20</v>
      </c>
      <c r="K54" s="22">
        <v>31</v>
      </c>
      <c r="L54" s="22">
        <v>94.333333330000002</v>
      </c>
      <c r="M54" s="32">
        <f>SUM(J54:L54)-I54</f>
        <v>-94.666666669999984</v>
      </c>
      <c r="N54" s="22">
        <v>83</v>
      </c>
      <c r="O54" s="22">
        <v>98</v>
      </c>
      <c r="P54" s="33">
        <f>SUM(N54:O54)</f>
        <v>181</v>
      </c>
      <c r="Q54" s="22">
        <v>10000</v>
      </c>
      <c r="R54" s="22">
        <v>8938</v>
      </c>
      <c r="S54" s="22">
        <f>R54-Q54</f>
        <v>-1062</v>
      </c>
      <c r="T54" s="22">
        <f>S54/Q54</f>
        <v>-0.1062</v>
      </c>
      <c r="U54" s="34">
        <f>IF(AND(Q54 &lt;&gt; "", R54 &lt;&gt; ""), MAX(0, IF(Q54 &gt; 0, 350 - ((350 / (0.3 * Q54)) * ABS(Q54 - R54)), 0)), "")</f>
        <v>226.1</v>
      </c>
      <c r="V54" s="20" t="s">
        <v>48</v>
      </c>
      <c r="W54" s="22"/>
      <c r="X54" s="35">
        <f>IF(OR(U54 &lt;&gt; "", W54&lt;&gt; ""),U54  + W54, "0")</f>
        <v>226.1</v>
      </c>
      <c r="Y54" s="22"/>
      <c r="Z54" s="22">
        <v>50</v>
      </c>
      <c r="AA54" s="28">
        <f>Z54+Y54</f>
        <v>50</v>
      </c>
      <c r="AD54" s="29">
        <f>AB54+AC54</f>
        <v>0</v>
      </c>
      <c r="AE54" s="22">
        <f>MAX(0, H54+M54+P54+X54+AA54-AD54)</f>
        <v>392.43333332999998</v>
      </c>
      <c r="AF54" s="20">
        <v>73</v>
      </c>
      <c r="AG54" s="23">
        <v>123</v>
      </c>
      <c r="AH54" s="20">
        <v>8938</v>
      </c>
      <c r="AI54" s="20">
        <v>10001</v>
      </c>
      <c r="AJ54" s="24">
        <f t="shared" si="0"/>
        <v>1063</v>
      </c>
      <c r="AK54" s="25">
        <f t="shared" si="1"/>
        <v>0.10628937106289371</v>
      </c>
      <c r="AL54" s="26" t="str">
        <f ca="1">IFERROR(__xludf.DUMMYFUNCTION("IF(AG78 = 99999, 99999, IF(AND(AG78 &lt;&gt; """", AI78 &lt;&gt; """"), RANK(AI78, FILTER(AI:AI, AG:AG &lt;&gt; 99999), 1), """"))
"),"")</f>
        <v/>
      </c>
      <c r="AM54">
        <f t="shared" si="2"/>
        <v>0</v>
      </c>
      <c r="AN54">
        <f t="shared" si="3"/>
        <v>1</v>
      </c>
    </row>
    <row r="55" spans="1:40" ht="13" x14ac:dyDescent="0.15">
      <c r="A55" s="19">
        <v>189</v>
      </c>
      <c r="B55" s="20" t="s">
        <v>108</v>
      </c>
      <c r="C55" s="21" t="s">
        <v>44</v>
      </c>
      <c r="D55" s="22">
        <v>15</v>
      </c>
      <c r="E55" s="22">
        <v>15</v>
      </c>
      <c r="F55" s="22">
        <v>15</v>
      </c>
      <c r="G55" s="22">
        <v>15</v>
      </c>
      <c r="H55" s="31">
        <f>SUM(D55:G55)</f>
        <v>60</v>
      </c>
      <c r="I55" s="22">
        <v>25</v>
      </c>
      <c r="J55" s="22">
        <v>19.5</v>
      </c>
      <c r="K55" s="22">
        <v>33.5</v>
      </c>
      <c r="L55" s="22">
        <v>128</v>
      </c>
      <c r="M55" s="32">
        <f>SUM(J55:L55)-I55</f>
        <v>156</v>
      </c>
      <c r="N55" s="22">
        <v>102</v>
      </c>
      <c r="O55" s="22">
        <v>109</v>
      </c>
      <c r="P55" s="33">
        <f>SUM(N55:O55)</f>
        <v>211</v>
      </c>
      <c r="Q55" s="22">
        <v>10000</v>
      </c>
      <c r="R55" s="22">
        <v>8871</v>
      </c>
      <c r="S55" s="22">
        <f>R55-Q55</f>
        <v>-1129</v>
      </c>
      <c r="T55" s="22">
        <f>S55/Q55</f>
        <v>-0.1129</v>
      </c>
      <c r="U55" s="34">
        <f>IF(AND(Q55 &lt;&gt; "", R55 &lt;&gt; ""), MAX(0, IF(Q55 &gt; 0, 350 - ((350 / (0.3 * Q55)) * ABS(Q55 - R55)), 0)), "")</f>
        <v>218.28333333333333</v>
      </c>
      <c r="V55" s="20" t="s">
        <v>47</v>
      </c>
      <c r="W55" s="22">
        <v>150</v>
      </c>
      <c r="X55" s="35">
        <f>IF(OR(U55 &lt;&gt; "", W55&lt;&gt; ""),U55  + W55, "0")</f>
        <v>368.2833333333333</v>
      </c>
      <c r="Y55" s="22"/>
      <c r="Z55" s="22">
        <v>50</v>
      </c>
      <c r="AA55" s="28">
        <f>Z55+Y55</f>
        <v>50</v>
      </c>
      <c r="AD55" s="29">
        <f>AB55+AC55</f>
        <v>0</v>
      </c>
      <c r="AE55" s="22">
        <f>MAX(0, H55+M55+P55+X55+AA55-AD55)</f>
        <v>845.2833333333333</v>
      </c>
      <c r="AF55" s="20">
        <v>25</v>
      </c>
      <c r="AG55" s="23">
        <v>40</v>
      </c>
      <c r="AH55" s="20">
        <v>8871</v>
      </c>
      <c r="AI55" s="20">
        <v>10645</v>
      </c>
      <c r="AJ55" s="24">
        <f t="shared" si="0"/>
        <v>1774</v>
      </c>
      <c r="AK55" s="25">
        <f t="shared" si="1"/>
        <v>0.16665100986378581</v>
      </c>
      <c r="AL55" s="26">
        <f ca="1">IFERROR(__xludf.DUMMYFUNCTION("IF(AG79 = 99999, 99999, IF(AND(AG79 &lt;&gt; """", AI79 &lt;&gt; """"), RANK(AI79, FILTER(AI:AI, AG:AG &lt;&gt; 99999), 1), """"))
"),41)</f>
        <v>41</v>
      </c>
      <c r="AM55">
        <f t="shared" si="2"/>
        <v>1</v>
      </c>
      <c r="AN55">
        <f t="shared" si="3"/>
        <v>1</v>
      </c>
    </row>
    <row r="56" spans="1:40" ht="13" x14ac:dyDescent="0.15">
      <c r="A56" s="19">
        <v>179</v>
      </c>
      <c r="B56" s="20" t="s">
        <v>102</v>
      </c>
      <c r="C56" s="21" t="s">
        <v>44</v>
      </c>
      <c r="D56" s="22">
        <v>15</v>
      </c>
      <c r="E56" s="22">
        <v>0</v>
      </c>
      <c r="F56" s="22">
        <v>15</v>
      </c>
      <c r="G56" s="22">
        <v>15</v>
      </c>
      <c r="H56" s="31">
        <f>SUM(D56:G56)</f>
        <v>45</v>
      </c>
      <c r="I56" s="22">
        <v>5</v>
      </c>
      <c r="J56" s="22">
        <v>0</v>
      </c>
      <c r="K56" s="22">
        <v>25</v>
      </c>
      <c r="L56" s="22">
        <v>63.5</v>
      </c>
      <c r="M56" s="32">
        <f>SUM(J56:L56)-I56</f>
        <v>83.5</v>
      </c>
      <c r="N56" s="22">
        <v>64</v>
      </c>
      <c r="O56" s="22">
        <v>101</v>
      </c>
      <c r="P56" s="33">
        <f>SUM(N56:O56)</f>
        <v>165</v>
      </c>
      <c r="Q56" s="22">
        <v>10000</v>
      </c>
      <c r="R56" s="22">
        <v>8855</v>
      </c>
      <c r="S56" s="22">
        <f>R56-Q56</f>
        <v>-1145</v>
      </c>
      <c r="T56" s="22">
        <f>S56/Q56</f>
        <v>-0.1145</v>
      </c>
      <c r="U56" s="34">
        <f>IF(AND(Q56 &lt;&gt; "", R56 &lt;&gt; ""), MAX(0, IF(Q56 &gt; 0, 350 - ((350 / (0.3 * Q56)) * ABS(Q56 - R56)), 0)), "")</f>
        <v>216.41666666666666</v>
      </c>
      <c r="V56" s="20" t="s">
        <v>45</v>
      </c>
      <c r="W56" s="22">
        <v>150</v>
      </c>
      <c r="X56" s="35">
        <f>IF(OR(U56 &lt;&gt; "", W56&lt;&gt; ""),U56  + W56, "0")</f>
        <v>366.41666666666663</v>
      </c>
      <c r="Y56" s="22">
        <v>45</v>
      </c>
      <c r="Z56" s="22">
        <v>50</v>
      </c>
      <c r="AA56" s="28">
        <f>Z56+Y56</f>
        <v>95</v>
      </c>
      <c r="AD56" s="29">
        <f>AB56+AC56</f>
        <v>0</v>
      </c>
      <c r="AE56" s="22">
        <f>MAX(0, H56+M56+P56+X56+AA56-AD56)</f>
        <v>754.91666666666663</v>
      </c>
      <c r="AF56" s="20">
        <v>35</v>
      </c>
      <c r="AG56" s="23">
        <v>52</v>
      </c>
      <c r="AH56" s="20">
        <v>8855</v>
      </c>
      <c r="AJ56" s="24" t="str">
        <f t="shared" si="0"/>
        <v/>
      </c>
      <c r="AK56" s="25" t="str">
        <f t="shared" si="1"/>
        <v/>
      </c>
      <c r="AL56" s="26">
        <f ca="1">IFERROR(__xludf.DUMMYFUNCTION("IF(AG80 = 99999, 99999, IF(AND(AG80 &lt;&gt; """", AI80 &lt;&gt; """"), RANK(AI80, FILTER(AI:AI, AG:AG &lt;&gt; 99999), 1), """"))
"),8)</f>
        <v>8</v>
      </c>
      <c r="AM56">
        <f t="shared" si="2"/>
        <v>1</v>
      </c>
      <c r="AN56">
        <f t="shared" si="3"/>
        <v>1</v>
      </c>
    </row>
    <row r="57" spans="1:40" ht="13" x14ac:dyDescent="0.15">
      <c r="A57" s="19">
        <v>162</v>
      </c>
      <c r="B57" s="20" t="s">
        <v>89</v>
      </c>
      <c r="C57" s="21" t="s">
        <v>44</v>
      </c>
      <c r="D57" s="22">
        <v>15</v>
      </c>
      <c r="E57" s="22">
        <v>15</v>
      </c>
      <c r="F57" s="22">
        <v>15</v>
      </c>
      <c r="G57" s="22">
        <v>0</v>
      </c>
      <c r="H57" s="31">
        <f>SUM(D57:G57)</f>
        <v>45</v>
      </c>
      <c r="I57" s="22">
        <v>5</v>
      </c>
      <c r="J57" s="22">
        <v>20</v>
      </c>
      <c r="K57" s="22">
        <v>33.333333330000002</v>
      </c>
      <c r="L57" s="22">
        <v>133.33333329999999</v>
      </c>
      <c r="M57" s="32">
        <f>SUM(J57:L57)-I57</f>
        <v>181.66666663000001</v>
      </c>
      <c r="N57" s="22">
        <v>115</v>
      </c>
      <c r="O57" s="22">
        <v>117</v>
      </c>
      <c r="P57" s="33">
        <f>SUM(N57:O57)</f>
        <v>232</v>
      </c>
      <c r="Q57" s="22">
        <v>10000</v>
      </c>
      <c r="R57" s="22">
        <v>8793</v>
      </c>
      <c r="S57" s="22">
        <f>R57-Q57</f>
        <v>-1207</v>
      </c>
      <c r="T57" s="22">
        <f>S57/Q57</f>
        <v>-0.1207</v>
      </c>
      <c r="U57" s="34">
        <f>IF(AND(Q57 &lt;&gt; "", R57 &lt;&gt; ""), MAX(0, IF(Q57 &gt; 0, 350 - ((350 / (0.3 * Q57)) * ABS(Q57 - R57)), 0)), "")</f>
        <v>209.18333333333334</v>
      </c>
      <c r="V57" s="20" t="s">
        <v>45</v>
      </c>
      <c r="W57" s="22">
        <v>150</v>
      </c>
      <c r="X57" s="35">
        <f>IF(OR(U57 &lt;&gt; "", W57&lt;&gt; ""),U57  + W57, "0")</f>
        <v>359.18333333333334</v>
      </c>
      <c r="Y57" s="22">
        <v>30</v>
      </c>
      <c r="Z57" s="22">
        <v>50</v>
      </c>
      <c r="AA57" s="28">
        <f>Z57+Y57</f>
        <v>80</v>
      </c>
      <c r="AD57" s="29">
        <f>AB57+AC57</f>
        <v>0</v>
      </c>
      <c r="AE57" s="22">
        <f>MAX(0, H57+M57+P57+X57+AA57-AD57)</f>
        <v>897.8499999633334</v>
      </c>
      <c r="AF57" s="20">
        <v>16</v>
      </c>
      <c r="AG57" s="23">
        <v>24</v>
      </c>
      <c r="AH57" s="20">
        <v>8793</v>
      </c>
      <c r="AI57" s="20">
        <v>10343</v>
      </c>
      <c r="AJ57" s="24">
        <f t="shared" si="0"/>
        <v>1550</v>
      </c>
      <c r="AK57" s="25">
        <f t="shared" si="1"/>
        <v>0.14985980856618003</v>
      </c>
      <c r="AL57" s="26">
        <f ca="1">IFERROR(__xludf.DUMMYFUNCTION("IF(AG81 = 99999, 99999, IF(AND(AG81 &lt;&gt; """", AI81 &lt;&gt; """"), RANK(AI81, FILTER(AI:AI, AG:AG &lt;&gt; 99999), 1), """"))
"),93)</f>
        <v>93</v>
      </c>
      <c r="AM57">
        <f t="shared" si="2"/>
        <v>1</v>
      </c>
      <c r="AN57">
        <f t="shared" si="3"/>
        <v>1</v>
      </c>
    </row>
    <row r="58" spans="1:40" ht="13" x14ac:dyDescent="0.15">
      <c r="A58" s="19">
        <v>177</v>
      </c>
      <c r="B58" s="20" t="s">
        <v>100</v>
      </c>
      <c r="C58" s="21" t="s">
        <v>44</v>
      </c>
      <c r="D58" s="22">
        <v>15</v>
      </c>
      <c r="E58" s="22">
        <v>15</v>
      </c>
      <c r="F58" s="22">
        <v>15</v>
      </c>
      <c r="G58" s="22">
        <v>15</v>
      </c>
      <c r="H58" s="31">
        <f>SUM(D58:G58)</f>
        <v>60</v>
      </c>
      <c r="I58" s="22">
        <v>25</v>
      </c>
      <c r="J58" s="22">
        <v>20</v>
      </c>
      <c r="K58" s="22">
        <v>33.666666669999998</v>
      </c>
      <c r="L58" s="22">
        <v>129.66666670000001</v>
      </c>
      <c r="M58" s="32">
        <f>SUM(J58:L58)-I58</f>
        <v>158.33333336999999</v>
      </c>
      <c r="N58" s="22">
        <v>112</v>
      </c>
      <c r="O58" s="22">
        <v>116</v>
      </c>
      <c r="P58" s="33">
        <f>SUM(N58:O58)</f>
        <v>228</v>
      </c>
      <c r="Q58" s="22">
        <v>10000</v>
      </c>
      <c r="R58" s="22">
        <v>8610</v>
      </c>
      <c r="S58" s="22">
        <f>R58-Q58</f>
        <v>-1390</v>
      </c>
      <c r="T58" s="22">
        <f>S58/Q58</f>
        <v>-0.13900000000000001</v>
      </c>
      <c r="U58" s="34">
        <f>IF(AND(Q58 &lt;&gt; "", R58 &lt;&gt; ""), MAX(0, IF(Q58 &gt; 0, 350 - ((350 / (0.3 * Q58)) * ABS(Q58 - R58)), 0)), "")</f>
        <v>187.83333333333334</v>
      </c>
      <c r="V58" s="20" t="s">
        <v>47</v>
      </c>
      <c r="W58" s="22">
        <v>150</v>
      </c>
      <c r="X58" s="35">
        <f>IF(OR(U58 &lt;&gt; "", W58&lt;&gt; ""),U58  + W58, "0")</f>
        <v>337.83333333333337</v>
      </c>
      <c r="Y58" s="22">
        <v>30</v>
      </c>
      <c r="Z58" s="22">
        <v>0</v>
      </c>
      <c r="AA58" s="28">
        <f>Z58+Y58</f>
        <v>30</v>
      </c>
      <c r="AD58" s="29">
        <f>AB58+AC58</f>
        <v>0</v>
      </c>
      <c r="AE58" s="22">
        <f>MAX(0, H58+M58+P58+X58+AA58-AD58)</f>
        <v>814.16666670333336</v>
      </c>
      <c r="AF58" s="20">
        <v>27</v>
      </c>
      <c r="AG58" s="23">
        <v>42</v>
      </c>
      <c r="AH58" s="20">
        <v>8610</v>
      </c>
      <c r="AI58" s="20">
        <v>10500</v>
      </c>
      <c r="AJ58" s="24">
        <f t="shared" si="0"/>
        <v>1890</v>
      </c>
      <c r="AK58" s="25">
        <f t="shared" si="1"/>
        <v>0.18</v>
      </c>
      <c r="AL58" s="26">
        <f ca="1">IFERROR(__xludf.DUMMYFUNCTION("IF(AG82 = 99999, 99999, IF(AND(AG82 &lt;&gt; """", AI82 &lt;&gt; """"), RANK(AI82, FILTER(AI:AI, AG:AG &lt;&gt; 99999), 1), """"))
"),84)</f>
        <v>84</v>
      </c>
      <c r="AM58">
        <f t="shared" si="2"/>
        <v>1</v>
      </c>
      <c r="AN58">
        <f t="shared" si="3"/>
        <v>1</v>
      </c>
    </row>
    <row r="59" spans="1:40" ht="13" x14ac:dyDescent="0.15">
      <c r="A59" s="19">
        <v>221</v>
      </c>
      <c r="B59" s="20" t="s">
        <v>123</v>
      </c>
      <c r="C59" s="21" t="s">
        <v>44</v>
      </c>
      <c r="D59" s="22">
        <v>15</v>
      </c>
      <c r="E59" s="22">
        <v>15</v>
      </c>
      <c r="F59" s="22">
        <v>15</v>
      </c>
      <c r="G59" s="22">
        <v>15</v>
      </c>
      <c r="H59" s="31">
        <f>SUM(D59:G59)</f>
        <v>60</v>
      </c>
      <c r="I59" s="22">
        <v>0</v>
      </c>
      <c r="J59" s="22">
        <v>19.666666670000001</v>
      </c>
      <c r="K59" s="22">
        <v>34</v>
      </c>
      <c r="L59" s="22">
        <v>117.66666669999999</v>
      </c>
      <c r="M59" s="32">
        <f>SUM(J59:L59)-I59</f>
        <v>171.33333336999999</v>
      </c>
      <c r="N59" s="22">
        <v>93</v>
      </c>
      <c r="O59" s="22">
        <v>94</v>
      </c>
      <c r="P59" s="33">
        <f>SUM(N59:O59)</f>
        <v>187</v>
      </c>
      <c r="Q59" s="22">
        <v>10000</v>
      </c>
      <c r="R59" s="22">
        <v>8599</v>
      </c>
      <c r="S59" s="22">
        <f>R59-Q59</f>
        <v>-1401</v>
      </c>
      <c r="T59" s="22">
        <f>S59/Q59</f>
        <v>-0.1401</v>
      </c>
      <c r="U59" s="34">
        <f>IF(AND(Q59 &lt;&gt; "", R59 &lt;&gt; ""), MAX(0, IF(Q59 &gt; 0, 350 - ((350 / (0.3 * Q59)) * ABS(Q59 - R59)), 0)), "")</f>
        <v>186.55</v>
      </c>
      <c r="V59" s="20" t="s">
        <v>48</v>
      </c>
      <c r="W59" s="22"/>
      <c r="X59" s="35">
        <f>IF(OR(U59 &lt;&gt; "", W59&lt;&gt; ""),U59  + W59, "0")</f>
        <v>186.55</v>
      </c>
      <c r="Y59" s="22">
        <v>15</v>
      </c>
      <c r="Z59" s="22">
        <v>0</v>
      </c>
      <c r="AA59" s="28">
        <f>Z59+Y59</f>
        <v>15</v>
      </c>
      <c r="AD59" s="29">
        <f>AB59+AC59</f>
        <v>0</v>
      </c>
      <c r="AE59" s="22">
        <f>MAX(0, H59+M59+P59+X59+AA59-AD59)</f>
        <v>619.88333336999995</v>
      </c>
      <c r="AF59" s="20">
        <v>53</v>
      </c>
      <c r="AG59" s="23">
        <v>81</v>
      </c>
      <c r="AH59" s="20">
        <v>8599</v>
      </c>
      <c r="AI59" s="20">
        <v>9652</v>
      </c>
      <c r="AJ59" s="24">
        <f t="shared" si="0"/>
        <v>1053</v>
      </c>
      <c r="AK59" s="25">
        <f t="shared" si="1"/>
        <v>0.10909656029838376</v>
      </c>
      <c r="AL59" s="26">
        <f ca="1">IFERROR(__xludf.DUMMYFUNCTION("IF(AG83 = 99999, 99999, IF(AND(AG83 &lt;&gt; """", AI83 &lt;&gt; """"), RANK(AI83, FILTER(AI:AI, AG:AG &lt;&gt; 99999), 1), """"))
"),9)</f>
        <v>9</v>
      </c>
      <c r="AM59">
        <f t="shared" si="2"/>
        <v>0</v>
      </c>
      <c r="AN59">
        <f t="shared" si="3"/>
        <v>1</v>
      </c>
    </row>
    <row r="60" spans="1:40" ht="13" x14ac:dyDescent="0.15">
      <c r="A60" s="19">
        <v>144</v>
      </c>
      <c r="B60" s="20" t="s">
        <v>78</v>
      </c>
      <c r="C60" s="21" t="s">
        <v>44</v>
      </c>
      <c r="D60" s="22">
        <v>15</v>
      </c>
      <c r="E60" s="22">
        <v>15</v>
      </c>
      <c r="F60" s="22">
        <v>15</v>
      </c>
      <c r="G60" s="22">
        <v>15</v>
      </c>
      <c r="H60" s="31">
        <f>SUM(D60:G60)</f>
        <v>60</v>
      </c>
      <c r="I60" s="22">
        <v>0</v>
      </c>
      <c r="J60" s="22">
        <v>20</v>
      </c>
      <c r="K60" s="22">
        <v>35</v>
      </c>
      <c r="L60" s="22">
        <v>140</v>
      </c>
      <c r="M60" s="32">
        <f>SUM(J60:L60)-I60</f>
        <v>195</v>
      </c>
      <c r="N60" s="22">
        <v>116</v>
      </c>
      <c r="O60" s="22">
        <v>114</v>
      </c>
      <c r="P60" s="33">
        <f>SUM(N60:O60)</f>
        <v>230</v>
      </c>
      <c r="Q60" s="22">
        <v>10000</v>
      </c>
      <c r="R60" s="22">
        <v>8561</v>
      </c>
      <c r="S60" s="22">
        <f>R60-Q60</f>
        <v>-1439</v>
      </c>
      <c r="T60" s="22">
        <f>S60/Q60</f>
        <v>-0.1439</v>
      </c>
      <c r="U60" s="34">
        <f>IF(AND(Q60 &lt;&gt; "", R60 &lt;&gt; ""), MAX(0, IF(Q60 &gt; 0, 350 - ((350 / (0.3 * Q60)) * ABS(Q60 - R60)), 0)), "")</f>
        <v>182.11666666666667</v>
      </c>
      <c r="V60" s="20" t="s">
        <v>45</v>
      </c>
      <c r="W60" s="22">
        <v>150</v>
      </c>
      <c r="X60" s="35">
        <f>IF(OR(U60 &lt;&gt; "", W60&lt;&gt; ""),U60  + W60, "0")</f>
        <v>332.11666666666667</v>
      </c>
      <c r="Y60" s="22">
        <v>75</v>
      </c>
      <c r="Z60" s="22">
        <v>50</v>
      </c>
      <c r="AA60" s="28">
        <f>Z60+Y60</f>
        <v>125</v>
      </c>
      <c r="AD60" s="29">
        <f>AB60+AC60</f>
        <v>0</v>
      </c>
      <c r="AE60" s="22">
        <f>MAX(0, H60+M60+P60+X60+AA60-AD60)</f>
        <v>942.11666666666667</v>
      </c>
      <c r="AF60" s="20">
        <v>8</v>
      </c>
      <c r="AG60" s="23">
        <v>13</v>
      </c>
      <c r="AH60" s="20">
        <v>8561</v>
      </c>
      <c r="AI60" s="20">
        <v>9965</v>
      </c>
      <c r="AJ60" s="24">
        <f t="shared" si="0"/>
        <v>1404</v>
      </c>
      <c r="AK60" s="25">
        <f t="shared" si="1"/>
        <v>0.14089312594079278</v>
      </c>
      <c r="AL60" s="26">
        <f ca="1">IFERROR(__xludf.DUMMYFUNCTION("IF(AG84 = 99999, 99999, IF(AND(AG84 &lt;&gt; """", AI84 &lt;&gt; """"), RANK(AI84, FILTER(AI:AI, AG:AG &lt;&gt; 99999), 1), """"))
"),109)</f>
        <v>109</v>
      </c>
      <c r="AM60">
        <f t="shared" si="2"/>
        <v>1</v>
      </c>
      <c r="AN60">
        <f t="shared" si="3"/>
        <v>1</v>
      </c>
    </row>
    <row r="61" spans="1:40" ht="13" x14ac:dyDescent="0.15">
      <c r="A61" s="19">
        <v>123</v>
      </c>
      <c r="B61" s="20" t="s">
        <v>64</v>
      </c>
      <c r="C61" s="21" t="s">
        <v>44</v>
      </c>
      <c r="D61" s="22">
        <v>15</v>
      </c>
      <c r="E61" s="22">
        <v>15</v>
      </c>
      <c r="F61" s="22">
        <v>15</v>
      </c>
      <c r="G61" s="22">
        <v>0</v>
      </c>
      <c r="H61" s="31">
        <f>SUM(D61:G61)</f>
        <v>45</v>
      </c>
      <c r="I61" s="22">
        <v>5</v>
      </c>
      <c r="J61" s="22">
        <v>10</v>
      </c>
      <c r="K61" s="22">
        <v>33.75</v>
      </c>
      <c r="L61" s="22">
        <v>104.75</v>
      </c>
      <c r="M61" s="32">
        <f>SUM(J61:L61)-I61</f>
        <v>143.5</v>
      </c>
      <c r="N61" s="22">
        <v>78</v>
      </c>
      <c r="O61" s="22">
        <v>97</v>
      </c>
      <c r="P61" s="33">
        <f>SUM(N61:O61)</f>
        <v>175</v>
      </c>
      <c r="Q61" s="22">
        <v>10000</v>
      </c>
      <c r="R61" s="22">
        <v>8512</v>
      </c>
      <c r="S61" s="22">
        <f>R61-Q61</f>
        <v>-1488</v>
      </c>
      <c r="T61" s="22">
        <f>S61/Q61</f>
        <v>-0.14879999999999999</v>
      </c>
      <c r="U61" s="34">
        <f>IF(AND(Q61 &lt;&gt; "", R61 &lt;&gt; ""), MAX(0, IF(Q61 &gt; 0, 350 - ((350 / (0.3 * Q61)) * ABS(Q61 - R61)), 0)), "")</f>
        <v>176.4</v>
      </c>
      <c r="V61" s="20" t="s">
        <v>45</v>
      </c>
      <c r="W61" s="22">
        <v>150</v>
      </c>
      <c r="X61" s="35">
        <f>IF(OR(U61 &lt;&gt; "", W61&lt;&gt; ""),U61  + W61, "0")</f>
        <v>326.39999999999998</v>
      </c>
      <c r="Y61" s="22"/>
      <c r="Z61" s="22">
        <v>0</v>
      </c>
      <c r="AA61" s="28">
        <f>Z61+Y61</f>
        <v>0</v>
      </c>
      <c r="AD61" s="29">
        <f>AB61+AC61</f>
        <v>0</v>
      </c>
      <c r="AE61" s="22">
        <f>MAX(0, H61+M61+P61+X61+AA61-AD61)</f>
        <v>689.9</v>
      </c>
      <c r="AF61" s="20">
        <v>44</v>
      </c>
      <c r="AG61" s="23">
        <v>66</v>
      </c>
      <c r="AH61" s="20">
        <v>8512</v>
      </c>
      <c r="AI61" s="20">
        <v>10354</v>
      </c>
      <c r="AJ61" s="24">
        <f t="shared" si="0"/>
        <v>1842</v>
      </c>
      <c r="AK61" s="25">
        <f t="shared" si="1"/>
        <v>0.17790225999613676</v>
      </c>
      <c r="AL61" s="26">
        <f ca="1">IFERROR(__xludf.DUMMYFUNCTION("IF(AG85 = 99999, 99999, IF(AND(AG85 &lt;&gt; """", AI85 &lt;&gt; """"), RANK(AI85, FILTER(AI:AI, AG:AG &lt;&gt; 99999), 1), """"))
"),42)</f>
        <v>42</v>
      </c>
      <c r="AM61">
        <f t="shared" si="2"/>
        <v>1</v>
      </c>
      <c r="AN61">
        <f t="shared" si="3"/>
        <v>1</v>
      </c>
    </row>
    <row r="62" spans="1:40" ht="13" x14ac:dyDescent="0.15">
      <c r="A62" s="19">
        <v>119</v>
      </c>
      <c r="B62" s="20" t="s">
        <v>61</v>
      </c>
      <c r="C62" s="21" t="s">
        <v>44</v>
      </c>
      <c r="D62" s="22">
        <v>15</v>
      </c>
      <c r="E62" s="22">
        <v>15</v>
      </c>
      <c r="F62" s="22">
        <v>15</v>
      </c>
      <c r="G62" s="22">
        <v>15</v>
      </c>
      <c r="H62" s="31">
        <f>SUM(D62:G62)</f>
        <v>60</v>
      </c>
      <c r="I62" s="22">
        <v>205</v>
      </c>
      <c r="J62" s="22">
        <v>19.666666670000001</v>
      </c>
      <c r="K62" s="22">
        <v>36</v>
      </c>
      <c r="L62" s="22">
        <v>130.66666670000001</v>
      </c>
      <c r="M62" s="32">
        <f>SUM(J62:L62)-I62</f>
        <v>-18.666666630000009</v>
      </c>
      <c r="N62" s="22">
        <v>108</v>
      </c>
      <c r="O62" s="22">
        <v>102</v>
      </c>
      <c r="P62" s="33">
        <f>SUM(N62:O62)</f>
        <v>210</v>
      </c>
      <c r="Q62" s="22">
        <v>10000</v>
      </c>
      <c r="R62" s="22">
        <v>8169</v>
      </c>
      <c r="S62" s="22">
        <f>R62-Q62</f>
        <v>-1831</v>
      </c>
      <c r="T62" s="22">
        <f>S62/Q62</f>
        <v>-0.18310000000000001</v>
      </c>
      <c r="U62" s="34">
        <f>IF(AND(Q62 &lt;&gt; "", R62 &lt;&gt; ""), MAX(0, IF(Q62 &gt; 0, 350 - ((350 / (0.3 * Q62)) * ABS(Q62 - R62)), 0)), "")</f>
        <v>136.38333333333333</v>
      </c>
      <c r="V62" s="20" t="s">
        <v>45</v>
      </c>
      <c r="W62" s="22">
        <v>150</v>
      </c>
      <c r="X62" s="35">
        <f>IF(OR(U62 &lt;&gt; "", W62&lt;&gt; ""),U62  + W62, "0")</f>
        <v>286.38333333333333</v>
      </c>
      <c r="Y62" s="22"/>
      <c r="Z62" s="22">
        <v>0</v>
      </c>
      <c r="AA62" s="28">
        <f>Z62+Y62</f>
        <v>0</v>
      </c>
      <c r="AD62" s="29">
        <f>AB62+AC62</f>
        <v>0</v>
      </c>
      <c r="AE62" s="22">
        <f>MAX(0, H62+M62+P62+X62+AA62-AD62)</f>
        <v>537.71666670333332</v>
      </c>
      <c r="AF62" s="20">
        <v>60</v>
      </c>
      <c r="AG62" s="23">
        <v>91</v>
      </c>
      <c r="AH62" s="20">
        <v>8169</v>
      </c>
      <c r="AI62" s="20">
        <v>11713</v>
      </c>
      <c r="AJ62" s="24">
        <f t="shared" si="0"/>
        <v>3544</v>
      </c>
      <c r="AK62" s="25">
        <f t="shared" si="1"/>
        <v>0.3025697942457099</v>
      </c>
      <c r="AL62" s="26" t="str">
        <f ca="1">IFERROR(__xludf.DUMMYFUNCTION("IF(AG86 = 99999, 99999, IF(AND(AG86 &lt;&gt; """", AI86 &lt;&gt; """"), RANK(AI86, FILTER(AI:AI, AG:AG &lt;&gt; 99999), 1), """"))
"),"")</f>
        <v/>
      </c>
      <c r="AM62">
        <f t="shared" si="2"/>
        <v>1</v>
      </c>
      <c r="AN62">
        <f t="shared" si="3"/>
        <v>1</v>
      </c>
    </row>
    <row r="63" spans="1:40" ht="13" x14ac:dyDescent="0.15">
      <c r="A63" s="19">
        <v>157</v>
      </c>
      <c r="B63" s="20" t="s">
        <v>85</v>
      </c>
      <c r="C63" s="21" t="s">
        <v>44</v>
      </c>
      <c r="D63" s="22">
        <v>15</v>
      </c>
      <c r="E63" s="22">
        <v>15</v>
      </c>
      <c r="F63" s="22">
        <v>0</v>
      </c>
      <c r="G63" s="22">
        <v>10</v>
      </c>
      <c r="H63" s="31">
        <f>SUM(D63:G63)</f>
        <v>40</v>
      </c>
      <c r="I63" s="22">
        <v>10</v>
      </c>
      <c r="J63" s="22">
        <v>13.33333333</v>
      </c>
      <c r="K63" s="22">
        <v>29</v>
      </c>
      <c r="L63" s="22">
        <v>107.33333330000001</v>
      </c>
      <c r="M63" s="32">
        <f>SUM(J63:L63)-I63</f>
        <v>139.66666663000001</v>
      </c>
      <c r="N63" s="22">
        <v>92</v>
      </c>
      <c r="O63" s="22">
        <v>82</v>
      </c>
      <c r="P63" s="33">
        <f>SUM(N63:O63)</f>
        <v>174</v>
      </c>
      <c r="Q63" s="22">
        <v>10000</v>
      </c>
      <c r="R63" s="22">
        <v>8113</v>
      </c>
      <c r="S63" s="22">
        <f>R63-Q63</f>
        <v>-1887</v>
      </c>
      <c r="T63" s="22">
        <f>S63/Q63</f>
        <v>-0.18870000000000001</v>
      </c>
      <c r="U63" s="34">
        <f>IF(AND(Q63 &lt;&gt; "", R63 &lt;&gt; ""), MAX(0, IF(Q63 &gt; 0, 350 - ((350 / (0.3 * Q63)) * ABS(Q63 - R63)), 0)), "")</f>
        <v>129.85</v>
      </c>
      <c r="V63" s="20" t="s">
        <v>48</v>
      </c>
      <c r="W63" s="22"/>
      <c r="X63" s="35">
        <f>IF(OR(U63 &lt;&gt; "", W63&lt;&gt; ""),U63  + W63, "0")</f>
        <v>129.85</v>
      </c>
      <c r="Y63" s="22"/>
      <c r="Z63" s="22">
        <v>0</v>
      </c>
      <c r="AA63" s="28">
        <f>Z63+Y63</f>
        <v>0</v>
      </c>
      <c r="AB63" s="22">
        <v>100</v>
      </c>
      <c r="AC63" s="22"/>
      <c r="AD63" s="29">
        <f>AB63+AC63</f>
        <v>100</v>
      </c>
      <c r="AE63" s="22">
        <f>MAX(0, H63+M63+P63+X63+AA63-AD63)</f>
        <v>383.51666663000003</v>
      </c>
      <c r="AF63" s="20">
        <v>74</v>
      </c>
      <c r="AG63" s="23">
        <v>102</v>
      </c>
      <c r="AH63" s="20">
        <v>8113</v>
      </c>
      <c r="AI63" s="20">
        <v>8756</v>
      </c>
      <c r="AJ63" s="24">
        <f t="shared" si="0"/>
        <v>643</v>
      </c>
      <c r="AK63" s="25">
        <f t="shared" si="1"/>
        <v>7.3435358611238011E-2</v>
      </c>
      <c r="AL63" s="26">
        <f ca="1">IFERROR(__xludf.DUMMYFUNCTION("IF(AG87 = 99999, 99999, IF(AND(AG87 &lt;&gt; """", AI87 &lt;&gt; """"), RANK(AI87, FILTER(AI:AI, AG:AG &lt;&gt; 99999), 1), """"))
"),74)</f>
        <v>74</v>
      </c>
      <c r="AM63">
        <f t="shared" si="2"/>
        <v>0</v>
      </c>
      <c r="AN63">
        <f t="shared" si="3"/>
        <v>1</v>
      </c>
    </row>
    <row r="64" spans="1:40" ht="13" x14ac:dyDescent="0.15">
      <c r="A64" s="19">
        <v>126</v>
      </c>
      <c r="B64" s="20" t="s">
        <v>65</v>
      </c>
      <c r="C64" s="21" t="s">
        <v>44</v>
      </c>
      <c r="D64" s="22">
        <v>15</v>
      </c>
      <c r="E64" s="22">
        <v>15</v>
      </c>
      <c r="F64" s="22">
        <v>15</v>
      </c>
      <c r="G64" s="22">
        <v>15</v>
      </c>
      <c r="H64" s="31">
        <f>SUM(D64:G64)</f>
        <v>60</v>
      </c>
      <c r="I64" s="22">
        <v>5</v>
      </c>
      <c r="J64" s="22">
        <v>19.75</v>
      </c>
      <c r="K64" s="22">
        <v>27</v>
      </c>
      <c r="L64" s="22">
        <v>123.25</v>
      </c>
      <c r="M64" s="32">
        <f>SUM(J64:L64)-I64</f>
        <v>165</v>
      </c>
      <c r="N64" s="22">
        <v>103</v>
      </c>
      <c r="O64" s="22">
        <v>112</v>
      </c>
      <c r="P64" s="33">
        <f>SUM(N64:O64)</f>
        <v>215</v>
      </c>
      <c r="Q64" s="22">
        <v>10000</v>
      </c>
      <c r="R64" s="22">
        <v>8008</v>
      </c>
      <c r="S64" s="22">
        <f>R64-Q64</f>
        <v>-1992</v>
      </c>
      <c r="T64" s="22">
        <f>S64/Q64</f>
        <v>-0.19919999999999999</v>
      </c>
      <c r="U64" s="34">
        <f>IF(AND(Q64 &lt;&gt; "", R64 &lt;&gt; ""), MAX(0, IF(Q64 &gt; 0, 350 - ((350 / (0.3 * Q64)) * ABS(Q64 - R64)), 0)), "")</f>
        <v>117.6</v>
      </c>
      <c r="V64" s="20" t="s">
        <v>48</v>
      </c>
      <c r="W64" s="22"/>
      <c r="X64" s="35">
        <f>IF(OR(U64 &lt;&gt; "", W64&lt;&gt; ""),U64  + W64, "0")</f>
        <v>117.6</v>
      </c>
      <c r="Y64" s="22">
        <v>105</v>
      </c>
      <c r="Z64" s="22">
        <v>50</v>
      </c>
      <c r="AA64" s="28">
        <f>Z64+Y64</f>
        <v>155</v>
      </c>
      <c r="AD64" s="29">
        <f>AB64+AC64</f>
        <v>0</v>
      </c>
      <c r="AE64" s="22">
        <f>MAX(0, H64+M64+P64+X64+AA64-AD64)</f>
        <v>712.6</v>
      </c>
      <c r="AF64" s="20">
        <v>42</v>
      </c>
      <c r="AG64" s="23">
        <v>62</v>
      </c>
      <c r="AH64" s="20">
        <v>8008</v>
      </c>
      <c r="AI64" s="20">
        <v>10180</v>
      </c>
      <c r="AJ64" s="24">
        <f t="shared" si="0"/>
        <v>2172</v>
      </c>
      <c r="AK64" s="25">
        <f t="shared" si="1"/>
        <v>0.21335952848722986</v>
      </c>
      <c r="AL64" s="26">
        <f ca="1">IFERROR(__xludf.DUMMYFUNCTION("IF(AG88 = 99999, 99999, IF(AND(AG88 &lt;&gt; """", AI88 &lt;&gt; """"), RANK(AI88, FILTER(AI:AI, AG:AG &lt;&gt; 99999), 1), """"))
"),71)</f>
        <v>71</v>
      </c>
      <c r="AM64">
        <f t="shared" si="2"/>
        <v>0</v>
      </c>
      <c r="AN64">
        <f t="shared" si="3"/>
        <v>1</v>
      </c>
    </row>
    <row r="65" spans="1:40" ht="13" x14ac:dyDescent="0.15">
      <c r="A65" s="19">
        <v>183</v>
      </c>
      <c r="B65" s="20" t="s">
        <v>105</v>
      </c>
      <c r="C65" s="21" t="s">
        <v>44</v>
      </c>
      <c r="D65" s="22">
        <v>15</v>
      </c>
      <c r="E65" s="22">
        <v>0</v>
      </c>
      <c r="F65" s="22">
        <v>15</v>
      </c>
      <c r="G65" s="22">
        <v>15</v>
      </c>
      <c r="H65" s="31">
        <f>SUM(D65:G65)</f>
        <v>45</v>
      </c>
      <c r="I65" s="22">
        <v>50</v>
      </c>
      <c r="J65" s="22">
        <v>0</v>
      </c>
      <c r="K65" s="22">
        <v>0</v>
      </c>
      <c r="L65" s="22">
        <v>0</v>
      </c>
      <c r="M65" s="32">
        <f>SUM(J65:L65)-I65</f>
        <v>-50</v>
      </c>
      <c r="N65" s="22">
        <v>103</v>
      </c>
      <c r="O65" s="22">
        <v>113</v>
      </c>
      <c r="P65" s="33">
        <f>SUM(N65:O65)</f>
        <v>216</v>
      </c>
      <c r="Q65" s="22">
        <v>10000</v>
      </c>
      <c r="R65" s="22">
        <v>7874</v>
      </c>
      <c r="S65" s="22">
        <f>R65-Q65</f>
        <v>-2126</v>
      </c>
      <c r="T65" s="22">
        <f>S65/Q65</f>
        <v>-0.21260000000000001</v>
      </c>
      <c r="U65" s="34">
        <f>IF(AND(Q65 &lt;&gt; "", R65 &lt;&gt; ""), MAX(0, IF(Q65 &gt; 0, 350 - ((350 / (0.3 * Q65)) * ABS(Q65 - R65)), 0)), "")</f>
        <v>101.96666666666667</v>
      </c>
      <c r="V65" s="20" t="s">
        <v>45</v>
      </c>
      <c r="W65" s="22">
        <v>150</v>
      </c>
      <c r="X65" s="35">
        <f>IF(OR(U65 &lt;&gt; "", W65&lt;&gt; ""),U65  + W65, "0")</f>
        <v>251.96666666666667</v>
      </c>
      <c r="Y65" s="22"/>
      <c r="Z65" s="22">
        <v>50</v>
      </c>
      <c r="AA65" s="28">
        <f>Z65+Y65</f>
        <v>50</v>
      </c>
      <c r="AB65" s="22"/>
      <c r="AC65" s="22">
        <v>60</v>
      </c>
      <c r="AD65" s="29">
        <f>AB65+AC65</f>
        <v>60</v>
      </c>
      <c r="AE65" s="22">
        <f>MAX(0, H65+M65+P65+X65+AA65-AD65)</f>
        <v>452.9666666666667</v>
      </c>
      <c r="AF65" s="20">
        <v>68</v>
      </c>
      <c r="AG65" s="23">
        <v>110</v>
      </c>
      <c r="AH65" s="20">
        <v>7874</v>
      </c>
      <c r="AI65" s="20">
        <v>9917</v>
      </c>
      <c r="AJ65" s="24">
        <f t="shared" si="0"/>
        <v>2043</v>
      </c>
      <c r="AK65" s="25">
        <f t="shared" si="1"/>
        <v>0.20600988202077242</v>
      </c>
      <c r="AL65" s="26">
        <f ca="1">IFERROR(__xludf.DUMMYFUNCTION("IF(AG89 = 99999, 99999, IF(AND(AG89 &lt;&gt; """", AI89 &lt;&gt; """"), RANK(AI89, FILTER(AI:AI, AG:AG &lt;&gt; 99999), 1), """"))
"),38)</f>
        <v>38</v>
      </c>
      <c r="AM65">
        <f t="shared" si="2"/>
        <v>1</v>
      </c>
      <c r="AN65">
        <f t="shared" si="3"/>
        <v>1</v>
      </c>
    </row>
    <row r="66" spans="1:40" ht="13" x14ac:dyDescent="0.15">
      <c r="A66" s="19">
        <v>148</v>
      </c>
      <c r="B66" s="20" t="s">
        <v>81</v>
      </c>
      <c r="C66" s="21" t="s">
        <v>44</v>
      </c>
      <c r="D66" s="22">
        <v>15</v>
      </c>
      <c r="E66" s="22">
        <v>15</v>
      </c>
      <c r="F66" s="22">
        <v>15</v>
      </c>
      <c r="G66" s="22">
        <v>15</v>
      </c>
      <c r="H66" s="31">
        <f>SUM(D66:G66)</f>
        <v>60</v>
      </c>
      <c r="I66" s="22">
        <v>0</v>
      </c>
      <c r="J66" s="22">
        <v>20</v>
      </c>
      <c r="K66" s="22">
        <v>36.333333330000002</v>
      </c>
      <c r="L66" s="22">
        <v>134</v>
      </c>
      <c r="M66" s="32">
        <f>SUM(J66:L66)-I66</f>
        <v>190.33333333000002</v>
      </c>
      <c r="N66" s="22">
        <v>116</v>
      </c>
      <c r="O66" s="22">
        <v>119</v>
      </c>
      <c r="P66" s="33">
        <f>SUM(N66:O66)</f>
        <v>235</v>
      </c>
      <c r="Q66" s="22">
        <v>10000</v>
      </c>
      <c r="R66" s="22">
        <v>7857</v>
      </c>
      <c r="S66" s="22">
        <f>R66-Q66</f>
        <v>-2143</v>
      </c>
      <c r="T66" s="22">
        <f>S66/Q66</f>
        <v>-0.21429999999999999</v>
      </c>
      <c r="U66" s="34">
        <f>IF(AND(Q66 &lt;&gt; "", R66 &lt;&gt; ""), MAX(0, IF(Q66 &gt; 0, 350 - ((350 / (0.3 * Q66)) * ABS(Q66 - R66)), 0)), "")</f>
        <v>99.98333333333332</v>
      </c>
      <c r="V66" s="20" t="s">
        <v>48</v>
      </c>
      <c r="W66" s="22"/>
      <c r="X66" s="35">
        <f>IF(OR(U66 &lt;&gt; "", W66&lt;&gt; ""),U66  + W66, "0")</f>
        <v>99.98333333333332</v>
      </c>
      <c r="Y66" s="22"/>
      <c r="Z66" s="22">
        <v>0</v>
      </c>
      <c r="AA66" s="28">
        <f>Z66+Y66</f>
        <v>0</v>
      </c>
      <c r="AB66" s="22">
        <v>100</v>
      </c>
      <c r="AC66" s="22"/>
      <c r="AD66" s="29">
        <f>AB66+AC66</f>
        <v>100</v>
      </c>
      <c r="AE66" s="22">
        <f>MAX(0, H66+M66+P66+X66+AA66-AD66)</f>
        <v>485.31666666333331</v>
      </c>
      <c r="AF66" s="20">
        <v>64</v>
      </c>
      <c r="AG66" s="23">
        <v>87</v>
      </c>
      <c r="AH66" s="20">
        <v>7857</v>
      </c>
      <c r="AI66" s="20">
        <v>10000</v>
      </c>
      <c r="AJ66" s="24">
        <f t="shared" si="0"/>
        <v>2143</v>
      </c>
      <c r="AK66" s="25">
        <f t="shared" si="1"/>
        <v>0.21429999999999999</v>
      </c>
      <c r="AL66" s="26">
        <f ca="1">IFERROR(__xludf.DUMMYFUNCTION("IF(AG91 = 99999, 99999, IF(AND(AG91 &lt;&gt; """", AI91 &lt;&gt; """"), RANK(AI91, FILTER(AI:AI, AG:AG &lt;&gt; 99999), 1), """"))
"),40)</f>
        <v>40</v>
      </c>
      <c r="AM66">
        <f t="shared" si="2"/>
        <v>0</v>
      </c>
      <c r="AN66">
        <f t="shared" si="3"/>
        <v>1</v>
      </c>
    </row>
    <row r="67" spans="1:40" ht="13" x14ac:dyDescent="0.15">
      <c r="A67" s="19">
        <v>140</v>
      </c>
      <c r="B67" s="20" t="s">
        <v>74</v>
      </c>
      <c r="C67" s="21" t="s">
        <v>44</v>
      </c>
      <c r="D67" s="22">
        <v>15</v>
      </c>
      <c r="E67" s="22">
        <v>15</v>
      </c>
      <c r="F67" s="22">
        <v>15</v>
      </c>
      <c r="G67" s="22">
        <v>15</v>
      </c>
      <c r="H67" s="31">
        <f>SUM(D67:G67)</f>
        <v>60</v>
      </c>
      <c r="I67" s="22">
        <v>5</v>
      </c>
      <c r="J67" s="22">
        <v>10</v>
      </c>
      <c r="K67" s="22">
        <v>37.5</v>
      </c>
      <c r="L67" s="22">
        <v>104</v>
      </c>
      <c r="M67" s="32">
        <f>SUM(J67:L67)-I67</f>
        <v>146.5</v>
      </c>
      <c r="N67" s="22">
        <v>120</v>
      </c>
      <c r="O67" s="22">
        <v>111</v>
      </c>
      <c r="P67" s="33">
        <f>SUM(N67:O67)</f>
        <v>231</v>
      </c>
      <c r="Q67" s="22">
        <v>10000</v>
      </c>
      <c r="R67" s="22">
        <v>7770</v>
      </c>
      <c r="S67" s="22">
        <f>R67-Q67</f>
        <v>-2230</v>
      </c>
      <c r="T67" s="22">
        <f>S67/Q67</f>
        <v>-0.223</v>
      </c>
      <c r="U67" s="34">
        <f>IF(AND(Q67 &lt;&gt; "", R67 &lt;&gt; ""), MAX(0, IF(Q67 &gt; 0, 350 - ((350 / (0.3 * Q67)) * ABS(Q67 - R67)), 0)), "")</f>
        <v>89.833333333333314</v>
      </c>
      <c r="V67" s="20" t="s">
        <v>45</v>
      </c>
      <c r="W67" s="22">
        <v>150</v>
      </c>
      <c r="X67" s="35">
        <f>IF(OR(U67 &lt;&gt; "", W67&lt;&gt; ""),U67  + W67, "0")</f>
        <v>239.83333333333331</v>
      </c>
      <c r="Y67" s="22"/>
      <c r="Z67" s="22">
        <v>0</v>
      </c>
      <c r="AA67" s="28">
        <f>Z67+Y67</f>
        <v>0</v>
      </c>
      <c r="AB67" s="22"/>
      <c r="AC67" s="22">
        <v>20</v>
      </c>
      <c r="AD67" s="29">
        <f>AB67+AC67</f>
        <v>20</v>
      </c>
      <c r="AE67" s="22">
        <f>MAX(0, H67+M67+P67+X67+AA67-AD67)</f>
        <v>657.33333333333326</v>
      </c>
      <c r="AF67" s="20">
        <v>46</v>
      </c>
      <c r="AG67" s="23">
        <v>71</v>
      </c>
      <c r="AH67" s="20">
        <v>7770</v>
      </c>
      <c r="AI67" s="20">
        <v>7145</v>
      </c>
      <c r="AJ67" s="24">
        <f t="shared" si="0"/>
        <v>625</v>
      </c>
      <c r="AK67" s="25">
        <f t="shared" si="1"/>
        <v>8.7473757872638211E-2</v>
      </c>
      <c r="AL67" s="26">
        <f ca="1">IFERROR(__xludf.DUMMYFUNCTION("IF(AG92 = 99999, 99999, IF(AND(AG92 &lt;&gt; """", AI92 &lt;&gt; """"), RANK(AI92, FILTER(AI:AI, AG:AG &lt;&gt; 99999), 1), """"))
"),91)</f>
        <v>91</v>
      </c>
      <c r="AM67">
        <f t="shared" si="2"/>
        <v>1</v>
      </c>
      <c r="AN67">
        <f t="shared" si="3"/>
        <v>1</v>
      </c>
    </row>
    <row r="68" spans="1:40" ht="13" x14ac:dyDescent="0.15">
      <c r="A68" s="19">
        <v>143</v>
      </c>
      <c r="B68" s="20" t="s">
        <v>77</v>
      </c>
      <c r="C68" s="21" t="s">
        <v>44</v>
      </c>
      <c r="D68" s="22">
        <v>15</v>
      </c>
      <c r="E68" s="22">
        <v>15</v>
      </c>
      <c r="F68" s="22">
        <v>15</v>
      </c>
      <c r="G68" s="22">
        <v>15</v>
      </c>
      <c r="H68" s="31">
        <f>SUM(D68:G68)</f>
        <v>60</v>
      </c>
      <c r="I68" s="22">
        <v>0</v>
      </c>
      <c r="J68" s="22">
        <v>20</v>
      </c>
      <c r="K68" s="22">
        <v>35</v>
      </c>
      <c r="L68" s="22">
        <v>110</v>
      </c>
      <c r="M68" s="32">
        <f>SUM(J68:L68)-I68</f>
        <v>165</v>
      </c>
      <c r="N68" s="22">
        <v>115</v>
      </c>
      <c r="O68" s="22">
        <v>112</v>
      </c>
      <c r="P68" s="33">
        <f>SUM(N68:O68)</f>
        <v>227</v>
      </c>
      <c r="Q68" s="22">
        <v>10000</v>
      </c>
      <c r="R68" s="22">
        <v>7572</v>
      </c>
      <c r="S68" s="22">
        <f>R68-Q68</f>
        <v>-2428</v>
      </c>
      <c r="T68" s="22">
        <f>S68/Q68</f>
        <v>-0.24279999999999999</v>
      </c>
      <c r="U68" s="34">
        <f>IF(AND(Q68 &lt;&gt; "", R68 &lt;&gt; ""), MAX(0, IF(Q68 &gt; 0, 350 - ((350 / (0.3 * Q68)) * ABS(Q68 - R68)), 0)), "")</f>
        <v>66.733333333333348</v>
      </c>
      <c r="V68" s="20" t="s">
        <v>45</v>
      </c>
      <c r="W68" s="22">
        <v>150</v>
      </c>
      <c r="X68" s="35">
        <f>IF(OR(U68 &lt;&gt; "", W68&lt;&gt; ""),U68  + W68, "0")</f>
        <v>216.73333333333335</v>
      </c>
      <c r="Y68" s="22"/>
      <c r="Z68" s="22">
        <v>50</v>
      </c>
      <c r="AA68" s="28">
        <f>Z68+Y68</f>
        <v>50</v>
      </c>
      <c r="AD68" s="29">
        <f>AB68+AC68</f>
        <v>0</v>
      </c>
      <c r="AE68" s="22">
        <f>MAX(0, H68+M68+P68+X68+AA68-AD68)</f>
        <v>718.73333333333335</v>
      </c>
      <c r="AF68" s="20">
        <v>40</v>
      </c>
      <c r="AG68" s="23">
        <v>59</v>
      </c>
      <c r="AH68" s="20">
        <v>7572</v>
      </c>
      <c r="AI68" s="20">
        <v>9320</v>
      </c>
      <c r="AJ68" s="24">
        <f t="shared" si="0"/>
        <v>1748</v>
      </c>
      <c r="AK68" s="25">
        <f t="shared" si="1"/>
        <v>0.18755364806866953</v>
      </c>
      <c r="AL68" s="26">
        <f ca="1">IFERROR(__xludf.DUMMYFUNCTION("IF(AG93 = 99999, 99999, IF(AND(AG93 &lt;&gt; """", AI93 &lt;&gt; """"), RANK(AI93, FILTER(AI:AI, AG:AG &lt;&gt; 99999), 1), """"))
"),106)</f>
        <v>106</v>
      </c>
      <c r="AM68">
        <f t="shared" ref="AM68:AM106" si="4">IF(V68&lt;&gt;"Excessive Damage",1,0)</f>
        <v>1</v>
      </c>
      <c r="AN68">
        <f t="shared" ref="AN68:AN106" si="5">IF(R68 &gt; 1000, 1, 0)</f>
        <v>1</v>
      </c>
    </row>
    <row r="69" spans="1:40" ht="13" x14ac:dyDescent="0.15">
      <c r="A69" s="19">
        <v>194</v>
      </c>
      <c r="B69" s="20" t="s">
        <v>112</v>
      </c>
      <c r="C69" s="21" t="s">
        <v>44</v>
      </c>
      <c r="D69" s="22">
        <v>15</v>
      </c>
      <c r="E69" s="22">
        <v>15</v>
      </c>
      <c r="F69" s="22">
        <v>15</v>
      </c>
      <c r="G69" s="22">
        <v>15</v>
      </c>
      <c r="H69" s="31">
        <f>SUM(D69:G69)</f>
        <v>60</v>
      </c>
      <c r="I69" s="22">
        <v>5</v>
      </c>
      <c r="J69" s="22">
        <v>20</v>
      </c>
      <c r="K69" s="22">
        <v>35</v>
      </c>
      <c r="L69" s="22">
        <v>130</v>
      </c>
      <c r="M69" s="32">
        <f>SUM(J69:L69)-I69</f>
        <v>180</v>
      </c>
      <c r="N69" s="22">
        <v>80</v>
      </c>
      <c r="O69" s="22">
        <v>103</v>
      </c>
      <c r="P69" s="33">
        <f>SUM(N69:O69)</f>
        <v>183</v>
      </c>
      <c r="Q69" s="22">
        <v>10000</v>
      </c>
      <c r="R69" s="22">
        <v>6283</v>
      </c>
      <c r="S69" s="22">
        <f>R69-Q69</f>
        <v>-3717</v>
      </c>
      <c r="T69" s="22">
        <f>S69/Q69</f>
        <v>-0.37169999999999997</v>
      </c>
      <c r="U69" s="34">
        <f>IF(AND(Q69 &lt;&gt; "", R69 &lt;&gt; ""), MAX(0, IF(Q69 &gt; 0, 350 - ((350 / (0.3 * Q69)) * ABS(Q69 - R69)), 0)), "")</f>
        <v>0</v>
      </c>
      <c r="V69" s="20" t="s">
        <v>48</v>
      </c>
      <c r="W69" s="22"/>
      <c r="X69" s="35">
        <f>IF(OR(U69 &lt;&gt; "", W69&lt;&gt; ""),U69  + W69, "0")</f>
        <v>0</v>
      </c>
      <c r="Y69" s="22">
        <v>60</v>
      </c>
      <c r="Z69" s="22">
        <v>50</v>
      </c>
      <c r="AA69" s="28">
        <f>Z69+Y69</f>
        <v>110</v>
      </c>
      <c r="AD69" s="29">
        <f>AB69+AC69</f>
        <v>0</v>
      </c>
      <c r="AE69" s="22">
        <f>MAX(0, H69+M69+P69+X69+AA69-AD69)</f>
        <v>533</v>
      </c>
      <c r="AF69" s="20">
        <v>61</v>
      </c>
      <c r="AG69" s="23">
        <v>92</v>
      </c>
      <c r="AH69" s="20">
        <v>6283</v>
      </c>
      <c r="AI69" s="20">
        <v>10326</v>
      </c>
      <c r="AJ69" s="24">
        <f t="shared" si="0"/>
        <v>4043</v>
      </c>
      <c r="AK69" s="25">
        <f t="shared" si="1"/>
        <v>0.39153592872361032</v>
      </c>
      <c r="AL69" s="26">
        <f ca="1">IFERROR(__xludf.DUMMYFUNCTION("IF(AG94 = 99999, 99999, IF(AND(AG94 &lt;&gt; """", AI94 &lt;&gt; """"), RANK(AI94, FILTER(AI:AI, AG:AG &lt;&gt; 99999), 1), """"))
"),92)</f>
        <v>92</v>
      </c>
      <c r="AM69">
        <f t="shared" si="4"/>
        <v>0</v>
      </c>
      <c r="AN69">
        <f t="shared" si="5"/>
        <v>1</v>
      </c>
    </row>
    <row r="70" spans="1:40" ht="13" x14ac:dyDescent="0.15">
      <c r="A70" s="19">
        <v>105</v>
      </c>
      <c r="B70" s="20" t="s">
        <v>51</v>
      </c>
      <c r="C70" s="21" t="s">
        <v>44</v>
      </c>
      <c r="D70" s="22">
        <v>15</v>
      </c>
      <c r="E70" s="22">
        <v>15</v>
      </c>
      <c r="F70" s="22">
        <v>15</v>
      </c>
      <c r="G70" s="22">
        <v>10</v>
      </c>
      <c r="H70" s="31">
        <f>SUM(D70:G70)</f>
        <v>55</v>
      </c>
      <c r="I70" s="22">
        <v>40</v>
      </c>
      <c r="J70" s="22">
        <v>20</v>
      </c>
      <c r="K70" s="22">
        <v>32</v>
      </c>
      <c r="L70" s="22">
        <v>109</v>
      </c>
      <c r="M70" s="32">
        <f>SUM(J70:L70)-I70</f>
        <v>121</v>
      </c>
      <c r="N70" s="22">
        <v>106</v>
      </c>
      <c r="O70" s="22">
        <v>112</v>
      </c>
      <c r="P70" s="33">
        <f>SUM(N70:O70)</f>
        <v>218</v>
      </c>
      <c r="Q70" s="22">
        <v>10000</v>
      </c>
      <c r="R70" s="22">
        <v>5937</v>
      </c>
      <c r="S70" s="22">
        <f>R70-Q70</f>
        <v>-4063</v>
      </c>
      <c r="T70" s="22">
        <f>S70/Q70</f>
        <v>-0.40629999999999999</v>
      </c>
      <c r="U70" s="34">
        <f>IF(AND(Q70 &lt;&gt; "", R70 &lt;&gt; ""), MAX(0, IF(Q70 &gt; 0, 350 - ((350 / (0.3 * Q70)) * ABS(Q70 - R70)), 0)), "")</f>
        <v>0</v>
      </c>
      <c r="V70" s="20" t="s">
        <v>48</v>
      </c>
      <c r="W70" s="22"/>
      <c r="X70" s="35">
        <f>IF(OR(U70 &lt;&gt; "", W70&lt;&gt; ""),U70  + W70, "0")</f>
        <v>0</v>
      </c>
      <c r="Y70" s="22"/>
      <c r="Z70" s="22">
        <v>50</v>
      </c>
      <c r="AA70" s="28">
        <f>Z70+Y70</f>
        <v>50</v>
      </c>
      <c r="AD70" s="29">
        <f>AB70+AC70</f>
        <v>0</v>
      </c>
      <c r="AE70" s="22">
        <f>MAX(0, H70+M70+P70+X70+AA70-AD70)</f>
        <v>444</v>
      </c>
      <c r="AF70" s="20">
        <v>69</v>
      </c>
      <c r="AG70" s="23">
        <v>113</v>
      </c>
      <c r="AH70" s="20">
        <v>5937</v>
      </c>
      <c r="AI70" s="20">
        <v>10892</v>
      </c>
      <c r="AJ70" s="24">
        <f t="shared" si="0"/>
        <v>4955</v>
      </c>
      <c r="AK70" s="25">
        <f t="shared" si="1"/>
        <v>0.45492104296731545</v>
      </c>
      <c r="AL70" s="26">
        <f ca="1">IFERROR(__xludf.DUMMYFUNCTION("IF(AG96 = 99999, 99999, IF(AND(AG96 &lt;&gt; """", AI96 &lt;&gt; """"), RANK(AI96, FILTER(AI:AI, AG:AG &lt;&gt; 99999), 1), """"))
"),97)</f>
        <v>97</v>
      </c>
      <c r="AM70">
        <f t="shared" si="4"/>
        <v>0</v>
      </c>
      <c r="AN70">
        <f t="shared" si="5"/>
        <v>1</v>
      </c>
    </row>
    <row r="71" spans="1:40" ht="13" x14ac:dyDescent="0.15">
      <c r="A71" s="19">
        <v>136</v>
      </c>
      <c r="B71" s="20" t="s">
        <v>72</v>
      </c>
      <c r="C71" s="21" t="s">
        <v>44</v>
      </c>
      <c r="D71" s="22">
        <v>15</v>
      </c>
      <c r="E71" s="22">
        <v>15</v>
      </c>
      <c r="F71" s="22">
        <v>15</v>
      </c>
      <c r="G71" s="22">
        <v>15</v>
      </c>
      <c r="H71" s="31">
        <f>SUM(D71:G71)</f>
        <v>60</v>
      </c>
      <c r="I71" s="22">
        <v>0</v>
      </c>
      <c r="J71" s="22">
        <v>20</v>
      </c>
      <c r="K71" s="22">
        <v>39.5</v>
      </c>
      <c r="L71" s="22">
        <v>105</v>
      </c>
      <c r="M71" s="32">
        <f>SUM(J71:L71)-I71</f>
        <v>164.5</v>
      </c>
      <c r="N71" s="22">
        <v>101</v>
      </c>
      <c r="O71" s="22">
        <v>114</v>
      </c>
      <c r="P71" s="33">
        <f>SUM(N71:O71)</f>
        <v>215</v>
      </c>
      <c r="Q71" s="22">
        <v>10000</v>
      </c>
      <c r="R71" s="22">
        <v>2882</v>
      </c>
      <c r="S71" s="22">
        <f>R71-Q71</f>
        <v>-7118</v>
      </c>
      <c r="T71" s="22">
        <f>S71/Q71</f>
        <v>-0.71179999999999999</v>
      </c>
      <c r="U71" s="34">
        <f>IF(AND(Q71 &lt;&gt; "", R71 &lt;&gt; ""), MAX(0, IF(Q71 &gt; 0, 350 - ((350 / (0.3 * Q71)) * ABS(Q71 - R71)), 0)), "")</f>
        <v>0</v>
      </c>
      <c r="V71" s="20" t="s">
        <v>45</v>
      </c>
      <c r="W71" s="22">
        <v>150</v>
      </c>
      <c r="X71" s="35">
        <f>IF(OR(U71 &lt;&gt; "", W71&lt;&gt; ""),U71  + W71, "0")</f>
        <v>150</v>
      </c>
      <c r="Y71" s="22">
        <v>15</v>
      </c>
      <c r="Z71" s="22">
        <v>50</v>
      </c>
      <c r="AA71" s="28">
        <f>Z71+Y71</f>
        <v>65</v>
      </c>
      <c r="AD71" s="29">
        <f>AB71+AC71</f>
        <v>0</v>
      </c>
      <c r="AE71" s="22">
        <f>MAX(0, H71+M71+P71+X71+AA71-AD71)</f>
        <v>654.5</v>
      </c>
      <c r="AF71" s="20">
        <v>47</v>
      </c>
      <c r="AG71" s="23">
        <v>72</v>
      </c>
      <c r="AH71" s="20">
        <v>2882</v>
      </c>
      <c r="AI71" s="20">
        <v>10100</v>
      </c>
      <c r="AJ71" s="24">
        <f t="shared" si="0"/>
        <v>7218</v>
      </c>
      <c r="AK71" s="25">
        <f t="shared" si="1"/>
        <v>0.71465346534653462</v>
      </c>
      <c r="AL71" s="26">
        <f ca="1">IFERROR(__xludf.DUMMYFUNCTION("IF(AG97 = 99999, 99999, IF(AND(AG97 &lt;&gt; """", AI97 &lt;&gt; """"), RANK(AI97, FILTER(AI:AI, AG:AG &lt;&gt; 99999), 1), """"))
"),48)</f>
        <v>48</v>
      </c>
      <c r="AM71">
        <f t="shared" si="4"/>
        <v>1</v>
      </c>
      <c r="AN71">
        <f t="shared" si="5"/>
        <v>1</v>
      </c>
    </row>
    <row r="72" spans="1:40" ht="13" x14ac:dyDescent="0.15">
      <c r="A72" s="19">
        <v>146</v>
      </c>
      <c r="B72" s="20" t="s">
        <v>79</v>
      </c>
      <c r="C72" s="21" t="s">
        <v>44</v>
      </c>
      <c r="D72" s="22">
        <v>15</v>
      </c>
      <c r="E72" s="22">
        <v>15</v>
      </c>
      <c r="F72" s="22">
        <v>15</v>
      </c>
      <c r="G72" s="22">
        <v>0</v>
      </c>
      <c r="H72" s="31">
        <f>SUM(D72:G72)</f>
        <v>45</v>
      </c>
      <c r="I72" s="22">
        <v>0</v>
      </c>
      <c r="J72" s="22">
        <v>10</v>
      </c>
      <c r="K72" s="22">
        <v>37</v>
      </c>
      <c r="L72" s="22">
        <v>129.5</v>
      </c>
      <c r="M72" s="32">
        <f>SUM(J72:L72)-I72</f>
        <v>176.5</v>
      </c>
      <c r="N72" s="22">
        <v>120</v>
      </c>
      <c r="O72" s="22">
        <v>119</v>
      </c>
      <c r="P72" s="33">
        <f>SUM(N72:O72)</f>
        <v>239</v>
      </c>
      <c r="Q72" s="22">
        <v>10000</v>
      </c>
      <c r="R72" s="22">
        <v>2198</v>
      </c>
      <c r="S72" s="22">
        <f>R72-Q72</f>
        <v>-7802</v>
      </c>
      <c r="T72" s="22"/>
      <c r="U72" s="34">
        <f>IF(AND(Q72 &lt;&gt; "", R72 &lt;&gt; ""), MAX(0, IF(Q72 &gt; 0, 350 - ((350 / (0.3 * Q72)) * ABS(Q72 - R72)), 0)), "")</f>
        <v>0</v>
      </c>
      <c r="V72" s="20" t="s">
        <v>45</v>
      </c>
      <c r="W72" s="22">
        <v>150</v>
      </c>
      <c r="X72" s="35">
        <f>IF(OR(U72 &lt;&gt; "", W72&lt;&gt; ""),U72  + W72, "0")</f>
        <v>150</v>
      </c>
      <c r="Y72" s="22">
        <v>45</v>
      </c>
      <c r="Z72" s="22">
        <v>50</v>
      </c>
      <c r="AA72" s="28">
        <f>Z72+Y72</f>
        <v>95</v>
      </c>
      <c r="AD72" s="29">
        <f>AB72+AC72</f>
        <v>0</v>
      </c>
      <c r="AE72" s="22">
        <f>MAX(0, H72+M72+P72+X72+AA72-AD72)</f>
        <v>705.5</v>
      </c>
      <c r="AF72" s="20">
        <v>43</v>
      </c>
      <c r="AG72" s="23">
        <v>63</v>
      </c>
      <c r="AH72" s="20">
        <v>2198</v>
      </c>
      <c r="AI72" s="20">
        <v>10100</v>
      </c>
      <c r="AJ72" s="24">
        <f t="shared" si="0"/>
        <v>7902</v>
      </c>
      <c r="AK72" s="25">
        <f t="shared" si="1"/>
        <v>0.7823762376237624</v>
      </c>
      <c r="AL72" s="26" t="str">
        <f ca="1">IFERROR(__xludf.DUMMYFUNCTION("IF(AG98 = 99999, 99999, IF(AND(AG98 &lt;&gt; """", AI98 &lt;&gt; """"), RANK(AI98, FILTER(AI:AI, AG:AG &lt;&gt; 99999), 1), """"))
"),"")</f>
        <v/>
      </c>
      <c r="AM72">
        <f t="shared" si="4"/>
        <v>1</v>
      </c>
      <c r="AN72">
        <f t="shared" si="5"/>
        <v>1</v>
      </c>
    </row>
    <row r="73" spans="1:40" ht="13" x14ac:dyDescent="0.15">
      <c r="A73" s="19">
        <v>704</v>
      </c>
      <c r="B73" s="20" t="s">
        <v>154</v>
      </c>
      <c r="C73" s="21" t="s">
        <v>151</v>
      </c>
      <c r="D73" s="22">
        <v>15</v>
      </c>
      <c r="E73" s="22">
        <v>15</v>
      </c>
      <c r="F73" s="22">
        <v>15</v>
      </c>
      <c r="G73" s="22">
        <v>10</v>
      </c>
      <c r="H73" s="31">
        <f>SUM(D73:G73)</f>
        <v>55</v>
      </c>
      <c r="I73" s="22">
        <v>10</v>
      </c>
      <c r="J73" s="22">
        <v>20</v>
      </c>
      <c r="K73" s="22">
        <v>33</v>
      </c>
      <c r="L73" s="22">
        <v>130.5</v>
      </c>
      <c r="M73" s="32">
        <f>SUM(J73:L73)-I73</f>
        <v>173.5</v>
      </c>
      <c r="N73" s="22">
        <v>115</v>
      </c>
      <c r="O73" s="22">
        <v>120</v>
      </c>
      <c r="P73" s="33">
        <f>SUM(N73:O73)</f>
        <v>235</v>
      </c>
      <c r="Q73" s="22">
        <v>10000</v>
      </c>
      <c r="R73" s="22">
        <v>10342</v>
      </c>
      <c r="S73" s="22">
        <f>R73-Q73</f>
        <v>342</v>
      </c>
      <c r="T73" s="22">
        <f>S73/Q73</f>
        <v>3.4200000000000001E-2</v>
      </c>
      <c r="U73" s="34">
        <f>IF(AND(Q73 &lt;&gt; "", R73 &lt;&gt; ""), MAX(0, IF(Q73 &gt; 0, 350 - ((350 / (0.3 * Q73)) * ABS(Q73 - R73)), 0)), "")</f>
        <v>310.10000000000002</v>
      </c>
      <c r="V73" s="20" t="s">
        <v>45</v>
      </c>
      <c r="W73" s="22">
        <v>150</v>
      </c>
      <c r="X73" s="35">
        <f>IF(OR(U73 &lt;&gt; "", W73&lt;&gt; ""),U73  + W73, "0")</f>
        <v>460.1</v>
      </c>
      <c r="Y73" s="22">
        <v>60</v>
      </c>
      <c r="Z73" s="22">
        <v>50</v>
      </c>
      <c r="AA73" s="28">
        <f>Z73+Y73</f>
        <v>110</v>
      </c>
      <c r="AD73" s="29">
        <f>AB73+AC73</f>
        <v>0</v>
      </c>
      <c r="AE73" s="22">
        <f>MAX(0, H73+M73+P73+X73+AA73-AD73)</f>
        <v>1033.5999999999999</v>
      </c>
      <c r="AF73" s="20">
        <v>1</v>
      </c>
      <c r="AG73" s="23">
        <v>3</v>
      </c>
      <c r="AH73" s="20">
        <v>10342</v>
      </c>
      <c r="AI73" s="20">
        <v>10000</v>
      </c>
      <c r="AJ73" s="24">
        <f t="shared" si="0"/>
        <v>342</v>
      </c>
      <c r="AK73" s="25">
        <f t="shared" si="1"/>
        <v>3.4200000000000001E-2</v>
      </c>
      <c r="AL73" s="26">
        <f ca="1">IFERROR(__xludf.DUMMYFUNCTION("IF(AG99 = 99999, 99999, IF(AND(AG99 &lt;&gt; """", AI99 &lt;&gt; """"), RANK(AI99, FILTER(AI:AI, AG:AG &lt;&gt; 99999), 1), """"))
"),18)</f>
        <v>18</v>
      </c>
      <c r="AM73">
        <f t="shared" si="4"/>
        <v>1</v>
      </c>
      <c r="AN73">
        <f t="shared" si="5"/>
        <v>1</v>
      </c>
    </row>
    <row r="74" spans="1:40" ht="13" x14ac:dyDescent="0.15">
      <c r="A74" s="19">
        <v>703</v>
      </c>
      <c r="B74" s="20" t="s">
        <v>153</v>
      </c>
      <c r="C74" s="21" t="s">
        <v>151</v>
      </c>
      <c r="D74" s="22">
        <v>15</v>
      </c>
      <c r="E74" s="22">
        <v>15</v>
      </c>
      <c r="F74" s="22">
        <v>15</v>
      </c>
      <c r="G74" s="22">
        <v>15</v>
      </c>
      <c r="H74" s="31">
        <f>SUM(D74:G74)</f>
        <v>60</v>
      </c>
      <c r="I74" s="22">
        <v>0</v>
      </c>
      <c r="J74" s="22">
        <v>20</v>
      </c>
      <c r="K74" s="22">
        <v>35.5</v>
      </c>
      <c r="L74" s="22">
        <v>139.5</v>
      </c>
      <c r="M74" s="32">
        <f>SUM(J74:L74)-I74</f>
        <v>195</v>
      </c>
      <c r="N74" s="22">
        <v>119.5</v>
      </c>
      <c r="O74" s="22">
        <v>119</v>
      </c>
      <c r="P74" s="33">
        <f>SUM(N74:O74)</f>
        <v>238.5</v>
      </c>
      <c r="Q74" s="22">
        <v>10000</v>
      </c>
      <c r="R74" s="22">
        <v>5309</v>
      </c>
      <c r="S74" s="22">
        <f>R74-Q74</f>
        <v>-4691</v>
      </c>
      <c r="T74" s="22">
        <f>S74/Q74</f>
        <v>-0.46910000000000002</v>
      </c>
      <c r="U74" s="34">
        <f>IF(AND(Q74 &lt;&gt; "", R74 &lt;&gt; ""), MAX(0, IF(Q74 &gt; 0, 350 - ((350 / (0.3 * Q74)) * ABS(Q74 - R74)), 0)), "")</f>
        <v>0</v>
      </c>
      <c r="V74" s="20" t="s">
        <v>45</v>
      </c>
      <c r="W74" s="22">
        <v>150</v>
      </c>
      <c r="X74" s="35">
        <f>IF(OR(U74 &lt;&gt; "", W74&lt;&gt; ""),U74  + W74, "0")</f>
        <v>150</v>
      </c>
      <c r="Y74" s="22">
        <v>105</v>
      </c>
      <c r="Z74" s="22">
        <v>50</v>
      </c>
      <c r="AA74" s="28">
        <f>Z74+Y74</f>
        <v>155</v>
      </c>
      <c r="AD74" s="29">
        <f>AB74+AC74</f>
        <v>0</v>
      </c>
      <c r="AE74" s="22">
        <f>MAX(0, H74+M74+P74+X74+AA74-AD74)</f>
        <v>798.5</v>
      </c>
      <c r="AF74" s="20">
        <v>2</v>
      </c>
      <c r="AG74" s="23">
        <v>43</v>
      </c>
      <c r="AH74" s="20">
        <v>5309</v>
      </c>
      <c r="AI74" s="20">
        <v>10056</v>
      </c>
      <c r="AJ74" s="24">
        <f t="shared" si="0"/>
        <v>4747</v>
      </c>
      <c r="AK74" s="25">
        <f t="shared" si="1"/>
        <v>0.47205648369132858</v>
      </c>
      <c r="AL74" s="26">
        <f ca="1">IFERROR(__xludf.DUMMYFUNCTION("IF(AG100 = 99999, 99999, IF(AND(AG100 &lt;&gt; """", AI100 &lt;&gt; """"), RANK(AI100, FILTER(AI:AI, AG:AG &lt;&gt; 99999), 1), """"))
"),37)</f>
        <v>37</v>
      </c>
      <c r="AM74">
        <f t="shared" si="4"/>
        <v>1</v>
      </c>
      <c r="AN74">
        <f t="shared" si="5"/>
        <v>1</v>
      </c>
    </row>
    <row r="75" spans="1:40" ht="13" x14ac:dyDescent="0.15">
      <c r="A75" s="19">
        <v>700</v>
      </c>
      <c r="B75" s="20" t="s">
        <v>150</v>
      </c>
      <c r="C75" s="21" t="s">
        <v>151</v>
      </c>
      <c r="D75" s="22">
        <v>15</v>
      </c>
      <c r="E75" s="22">
        <v>15</v>
      </c>
      <c r="F75" s="22">
        <v>15</v>
      </c>
      <c r="G75" s="22">
        <v>15</v>
      </c>
      <c r="H75" s="31">
        <f>SUM(D75:G75)</f>
        <v>60</v>
      </c>
      <c r="I75" s="22">
        <v>5</v>
      </c>
      <c r="J75" s="22">
        <v>19</v>
      </c>
      <c r="K75" s="22">
        <v>38.5</v>
      </c>
      <c r="L75" s="22">
        <v>138</v>
      </c>
      <c r="M75" s="32">
        <f>SUM(J75:L75)-I75</f>
        <v>190.5</v>
      </c>
      <c r="N75" s="22">
        <v>120</v>
      </c>
      <c r="O75" s="22">
        <v>120</v>
      </c>
      <c r="P75" s="33">
        <f>SUM(N75:O75)</f>
        <v>240</v>
      </c>
      <c r="Q75" s="22">
        <v>10000</v>
      </c>
      <c r="R75" s="22">
        <v>2217</v>
      </c>
      <c r="S75" s="22">
        <f>R75-Q75</f>
        <v>-7783</v>
      </c>
      <c r="T75" s="22">
        <f>S75/Q75</f>
        <v>-0.77829999999999999</v>
      </c>
      <c r="U75" s="34">
        <f>IF(AND(Q75 &lt;&gt; "", R75 &lt;&gt; ""), MAX(0, IF(Q75 &gt; 0, 350 - ((350 / (0.3 * Q75)) * ABS(Q75 - R75)), 0)), "")</f>
        <v>0</v>
      </c>
      <c r="V75" s="20" t="s">
        <v>47</v>
      </c>
      <c r="W75" s="22">
        <v>150</v>
      </c>
      <c r="X75" s="35">
        <f>IF(OR(U75 &lt;&gt; "", W75&lt;&gt; ""),U75  + W75, "0")</f>
        <v>150</v>
      </c>
      <c r="Y75" s="22"/>
      <c r="Z75" s="22">
        <v>50</v>
      </c>
      <c r="AA75" s="28">
        <f>Z75+Y75</f>
        <v>50</v>
      </c>
      <c r="AD75" s="29">
        <f>AB75+AC75</f>
        <v>0</v>
      </c>
      <c r="AE75" s="22">
        <f>MAX(0, H75+M75+P75+X75+AA75-AD75)</f>
        <v>690.5</v>
      </c>
      <c r="AF75" s="20">
        <v>3</v>
      </c>
      <c r="AG75" s="23">
        <v>65</v>
      </c>
      <c r="AH75" s="20">
        <v>2217</v>
      </c>
      <c r="AI75" s="20">
        <v>10600</v>
      </c>
      <c r="AJ75" s="24">
        <f t="shared" si="0"/>
        <v>8383</v>
      </c>
      <c r="AK75" s="25">
        <f t="shared" si="1"/>
        <v>0.79084905660377358</v>
      </c>
      <c r="AL75" s="26" t="str">
        <f ca="1">IFERROR(__xludf.DUMMYFUNCTION("IF(AG101 = 99999, 99999, IF(AND(AG101 &lt;&gt; """", AI101 &lt;&gt; """"), RANK(AI101, FILTER(AI:AI, AG:AG &lt;&gt; 99999), 1), """"))
"),"")</f>
        <v/>
      </c>
      <c r="AM75">
        <f t="shared" si="4"/>
        <v>1</v>
      </c>
      <c r="AN75">
        <f t="shared" si="5"/>
        <v>1</v>
      </c>
    </row>
    <row r="76" spans="1:40" ht="13" x14ac:dyDescent="0.15">
      <c r="A76" s="19">
        <v>306</v>
      </c>
      <c r="B76" s="20" t="s">
        <v>128</v>
      </c>
      <c r="C76" s="21" t="s">
        <v>127</v>
      </c>
      <c r="D76" s="22">
        <v>15</v>
      </c>
      <c r="E76" s="22">
        <v>0</v>
      </c>
      <c r="F76" s="22">
        <v>15</v>
      </c>
      <c r="G76" s="22">
        <v>15</v>
      </c>
      <c r="H76" s="31">
        <f>SUM(D76:G76)</f>
        <v>45</v>
      </c>
      <c r="I76" s="22">
        <v>10</v>
      </c>
      <c r="J76" s="22">
        <v>20</v>
      </c>
      <c r="K76" s="22">
        <v>35</v>
      </c>
      <c r="L76" s="22">
        <v>119.5</v>
      </c>
      <c r="M76" s="32">
        <f>SUM(J76:L76)-I76</f>
        <v>164.5</v>
      </c>
      <c r="N76" s="22">
        <v>104</v>
      </c>
      <c r="O76" s="22">
        <v>108</v>
      </c>
      <c r="P76" s="33">
        <f>SUM(N76:O76)</f>
        <v>212</v>
      </c>
      <c r="Q76" s="22">
        <v>10000</v>
      </c>
      <c r="R76" s="22">
        <v>11341</v>
      </c>
      <c r="S76" s="22">
        <f>R76-Q76</f>
        <v>1341</v>
      </c>
      <c r="T76" s="22">
        <f>S76/Q76</f>
        <v>0.1341</v>
      </c>
      <c r="U76" s="34">
        <f>IF(AND(Q76 &lt;&gt; "", R76 &lt;&gt; ""), MAX(0, IF(Q76 &gt; 0, 350 - ((350 / (0.3 * Q76)) * ABS(Q76 - R76)), 0)), "")</f>
        <v>193.55</v>
      </c>
      <c r="V76" s="20" t="s">
        <v>45</v>
      </c>
      <c r="W76" s="22">
        <v>150</v>
      </c>
      <c r="X76" s="35">
        <f>IF(OR(U76 &lt;&gt; "", W76&lt;&gt; ""),U76  + W76, "0")</f>
        <v>343.55</v>
      </c>
      <c r="Y76" s="22"/>
      <c r="Z76" s="22">
        <v>0</v>
      </c>
      <c r="AA76" s="28">
        <f>Z76+Y76</f>
        <v>0</v>
      </c>
      <c r="AD76" s="29">
        <f>AB76+AC76</f>
        <v>0</v>
      </c>
      <c r="AE76" s="22">
        <f>MAX(0, H76+M76+P76+X76+AA76-AD76)</f>
        <v>765.05</v>
      </c>
      <c r="AF76" s="20">
        <v>5</v>
      </c>
      <c r="AG76" s="23">
        <v>50</v>
      </c>
      <c r="AH76" s="20">
        <v>11341</v>
      </c>
      <c r="AI76" s="20">
        <v>11125</v>
      </c>
      <c r="AJ76" s="24">
        <f t="shared" si="0"/>
        <v>216</v>
      </c>
      <c r="AK76" s="25">
        <f t="shared" si="1"/>
        <v>1.9415730337078652E-2</v>
      </c>
      <c r="AL76" s="26" t="str">
        <f ca="1">IFERROR(__xludf.DUMMYFUNCTION("IF(AG102 = 99999, 99999, IF(AND(AG102 &lt;&gt; """", AI102 &lt;&gt; """"), RANK(AI102, FILTER(AI:AI, AG:AG &lt;&gt; 99999), 1), """"))
"),"")</f>
        <v/>
      </c>
      <c r="AM76">
        <f t="shared" si="4"/>
        <v>1</v>
      </c>
      <c r="AN76">
        <f t="shared" si="5"/>
        <v>1</v>
      </c>
    </row>
    <row r="77" spans="1:40" ht="13" x14ac:dyDescent="0.15">
      <c r="A77" s="19">
        <v>309</v>
      </c>
      <c r="B77" s="20" t="s">
        <v>129</v>
      </c>
      <c r="C77" s="21" t="s">
        <v>127</v>
      </c>
      <c r="D77" s="22">
        <v>15</v>
      </c>
      <c r="E77" s="22">
        <v>15</v>
      </c>
      <c r="F77" s="22">
        <v>15</v>
      </c>
      <c r="G77" s="22">
        <v>15</v>
      </c>
      <c r="H77" s="31">
        <f>SUM(D77:G77)</f>
        <v>60</v>
      </c>
      <c r="I77" s="22">
        <v>0</v>
      </c>
      <c r="J77" s="22">
        <v>20</v>
      </c>
      <c r="K77" s="22">
        <v>36.5</v>
      </c>
      <c r="L77" s="22">
        <v>124</v>
      </c>
      <c r="M77" s="32">
        <f>SUM(J77:L77)-I77</f>
        <v>180.5</v>
      </c>
      <c r="N77" s="22">
        <v>111</v>
      </c>
      <c r="O77" s="22">
        <v>106</v>
      </c>
      <c r="P77" s="33">
        <f>SUM(N77:O77)</f>
        <v>217</v>
      </c>
      <c r="Q77" s="22">
        <v>10000</v>
      </c>
      <c r="R77" s="22">
        <v>11182</v>
      </c>
      <c r="S77" s="22">
        <f>R77-Q77</f>
        <v>1182</v>
      </c>
      <c r="T77" s="22">
        <f>S77/Q77</f>
        <v>0.1182</v>
      </c>
      <c r="U77" s="34">
        <f>IF(AND(Q77 &lt;&gt; "", R77 &lt;&gt; ""), MAX(0, IF(Q77 &gt; 0, 350 - ((350 / (0.3 * Q77)) * ABS(Q77 - R77)), 0)), "")</f>
        <v>212.1</v>
      </c>
      <c r="V77" s="20" t="s">
        <v>45</v>
      </c>
      <c r="W77" s="22">
        <v>150</v>
      </c>
      <c r="X77" s="35">
        <f>IF(OR(U77 &lt;&gt; "", W77&lt;&gt; ""),U77  + W77, "0")</f>
        <v>362.1</v>
      </c>
      <c r="Y77" s="22"/>
      <c r="Z77" s="22">
        <v>50</v>
      </c>
      <c r="AA77" s="28">
        <f>Z77+Y77</f>
        <v>50</v>
      </c>
      <c r="AD77" s="29">
        <f>AB77+AC77</f>
        <v>0</v>
      </c>
      <c r="AE77" s="22">
        <f>MAX(0, H77+M77+P77+X77+AA77-AD77)</f>
        <v>869.6</v>
      </c>
      <c r="AF77" s="20">
        <v>3</v>
      </c>
      <c r="AG77" s="23">
        <v>32</v>
      </c>
      <c r="AH77" s="20">
        <v>11182</v>
      </c>
      <c r="AI77" s="20">
        <v>10180</v>
      </c>
      <c r="AJ77" s="24">
        <f t="shared" si="0"/>
        <v>1002</v>
      </c>
      <c r="AK77" s="25">
        <f t="shared" si="1"/>
        <v>9.8428290766208251E-2</v>
      </c>
      <c r="AL77" s="26" t="str">
        <f ca="1">IFERROR(__xludf.DUMMYFUNCTION("IF(AG103 = 99999, 99999, IF(AND(AG103 &lt;&gt; """", AI103 &lt;&gt; """"), RANK(AI103, FILTER(AI:AI, AG:AG &lt;&gt; 99999), 1), """"))
"),"")</f>
        <v/>
      </c>
      <c r="AM77">
        <f t="shared" si="4"/>
        <v>1</v>
      </c>
      <c r="AN77">
        <f t="shared" si="5"/>
        <v>1</v>
      </c>
    </row>
    <row r="78" spans="1:40" ht="13" x14ac:dyDescent="0.15">
      <c r="A78" s="19">
        <v>302</v>
      </c>
      <c r="B78" s="20" t="s">
        <v>126</v>
      </c>
      <c r="C78" s="21" t="s">
        <v>127</v>
      </c>
      <c r="D78" s="22">
        <v>15</v>
      </c>
      <c r="E78" s="22">
        <v>15</v>
      </c>
      <c r="F78" s="22">
        <v>15</v>
      </c>
      <c r="G78" s="22">
        <v>15</v>
      </c>
      <c r="H78" s="31">
        <f>SUM(D78:G78)</f>
        <v>60</v>
      </c>
      <c r="I78" s="22">
        <v>0</v>
      </c>
      <c r="J78" s="22">
        <v>20</v>
      </c>
      <c r="K78" s="22">
        <v>37</v>
      </c>
      <c r="L78" s="22">
        <v>133</v>
      </c>
      <c r="M78" s="32">
        <f>SUM(J78:L78)-I78</f>
        <v>190</v>
      </c>
      <c r="N78" s="22">
        <v>92</v>
      </c>
      <c r="O78" s="22">
        <v>82</v>
      </c>
      <c r="P78" s="33">
        <f>SUM(N78:O78)</f>
        <v>174</v>
      </c>
      <c r="Q78" s="22">
        <v>10000</v>
      </c>
      <c r="R78" s="22">
        <v>10680</v>
      </c>
      <c r="S78" s="22">
        <f>R78-Q78</f>
        <v>680</v>
      </c>
      <c r="T78" s="22">
        <f>S78/Q78</f>
        <v>6.8000000000000005E-2</v>
      </c>
      <c r="U78" s="34">
        <f>IF(AND(Q78 &lt;&gt; "", R78 &lt;&gt; ""), MAX(0, IF(Q78 &gt; 0, 350 - ((350 / (0.3 * Q78)) * ABS(Q78 - R78)), 0)), "")</f>
        <v>270.66666666666669</v>
      </c>
      <c r="V78" s="20" t="s">
        <v>45</v>
      </c>
      <c r="W78" s="22">
        <v>150</v>
      </c>
      <c r="X78" s="35">
        <f>IF(OR(U78 &lt;&gt; "", W78&lt;&gt; ""),U78  + W78, "0")</f>
        <v>420.66666666666669</v>
      </c>
      <c r="Y78" s="22"/>
      <c r="Z78" s="22">
        <v>50</v>
      </c>
      <c r="AA78" s="28">
        <f>Z78+Y78</f>
        <v>50</v>
      </c>
      <c r="AD78" s="29">
        <f>AB78+AC78</f>
        <v>0</v>
      </c>
      <c r="AE78" s="22">
        <f>MAX(0, H78+M78+P78+X78+AA78-AD78)</f>
        <v>894.66666666666674</v>
      </c>
      <c r="AF78" s="20">
        <v>1</v>
      </c>
      <c r="AG78" s="23">
        <v>28</v>
      </c>
      <c r="AH78" s="20">
        <v>10680</v>
      </c>
      <c r="AI78" s="20">
        <v>10751</v>
      </c>
      <c r="AJ78" s="24">
        <f t="shared" si="0"/>
        <v>71</v>
      </c>
      <c r="AK78" s="25">
        <f t="shared" si="1"/>
        <v>6.6040368337829036E-3</v>
      </c>
      <c r="AL78" s="26">
        <f ca="1">IFERROR(__xludf.DUMMYFUNCTION("IF(AG104 = 99999, 99999, IF(AND(AG104 &lt;&gt; """", AI104 &lt;&gt; """"), RANK(AI104, FILTER(AI:AI, AG:AG &lt;&gt; 99999), 1), """"))
"),117)</f>
        <v>117</v>
      </c>
      <c r="AM78">
        <f t="shared" si="4"/>
        <v>1</v>
      </c>
      <c r="AN78">
        <f t="shared" si="5"/>
        <v>1</v>
      </c>
    </row>
    <row r="79" spans="1:40" ht="13" x14ac:dyDescent="0.15">
      <c r="A79" s="19">
        <v>312</v>
      </c>
      <c r="B79" s="20" t="s">
        <v>132</v>
      </c>
      <c r="C79" s="21" t="s">
        <v>127</v>
      </c>
      <c r="D79" s="22">
        <v>15</v>
      </c>
      <c r="E79" s="22">
        <v>15</v>
      </c>
      <c r="F79" s="22">
        <v>15</v>
      </c>
      <c r="G79" s="22">
        <v>15</v>
      </c>
      <c r="H79" s="31">
        <f>SUM(D79:G79)</f>
        <v>60</v>
      </c>
      <c r="I79" s="22">
        <v>200</v>
      </c>
      <c r="J79" s="22">
        <v>20</v>
      </c>
      <c r="K79" s="22">
        <v>35</v>
      </c>
      <c r="L79" s="22">
        <v>127.5</v>
      </c>
      <c r="M79" s="32">
        <f>SUM(J79:L79)-I79</f>
        <v>-17.5</v>
      </c>
      <c r="N79" s="22">
        <v>101</v>
      </c>
      <c r="O79" s="22">
        <v>106</v>
      </c>
      <c r="P79" s="33">
        <f>SUM(N79:O79)</f>
        <v>207</v>
      </c>
      <c r="Q79" s="22">
        <v>10000</v>
      </c>
      <c r="R79" s="22">
        <v>10313</v>
      </c>
      <c r="S79" s="22">
        <f>R79-Q79</f>
        <v>313</v>
      </c>
      <c r="T79" s="22">
        <f>S79/Q79</f>
        <v>3.1300000000000001E-2</v>
      </c>
      <c r="U79" s="34">
        <f>IF(AND(Q79 &lt;&gt; "", R79 &lt;&gt; ""), MAX(0, IF(Q79 &gt; 0, 350 - ((350 / (0.3 * Q79)) * ABS(Q79 - R79)), 0)), "")</f>
        <v>313.48333333333335</v>
      </c>
      <c r="V79" s="20" t="s">
        <v>45</v>
      </c>
      <c r="W79" s="22">
        <v>150</v>
      </c>
      <c r="X79" s="35">
        <f>IF(OR(U79 &lt;&gt; "", W79&lt;&gt; ""),U79  + W79, "0")</f>
        <v>463.48333333333335</v>
      </c>
      <c r="Y79" s="22">
        <v>30</v>
      </c>
      <c r="Z79" s="22">
        <v>0</v>
      </c>
      <c r="AA79" s="28">
        <f>Z79+Y79</f>
        <v>30</v>
      </c>
      <c r="AD79" s="29">
        <f>AB79+AC79</f>
        <v>0</v>
      </c>
      <c r="AE79" s="22">
        <f>MAX(0, H79+M79+P79+X79+AA79-AD79)</f>
        <v>742.98333333333335</v>
      </c>
      <c r="AF79" s="20">
        <v>6</v>
      </c>
      <c r="AG79" s="23">
        <v>56</v>
      </c>
      <c r="AH79" s="20">
        <v>10313</v>
      </c>
      <c r="AI79" s="20">
        <v>10510</v>
      </c>
      <c r="AJ79" s="24">
        <f t="shared" si="0"/>
        <v>197</v>
      </c>
      <c r="AK79" s="25">
        <f t="shared" si="1"/>
        <v>1.8744053282588012E-2</v>
      </c>
      <c r="AL79" s="26">
        <f ca="1">IFERROR(__xludf.DUMMYFUNCTION("IF(AG105 = 99999, 99999, IF(AND(AG105 &lt;&gt; """", AI105 &lt;&gt; """"), RANK(AI105, FILTER(AI:AI, AG:AG &lt;&gt; 99999), 1), """"))
"),116)</f>
        <v>116</v>
      </c>
      <c r="AM79">
        <f t="shared" si="4"/>
        <v>1</v>
      </c>
      <c r="AN79">
        <f t="shared" si="5"/>
        <v>1</v>
      </c>
    </row>
    <row r="80" spans="1:40" ht="13" x14ac:dyDescent="0.15">
      <c r="A80" s="19">
        <v>311</v>
      </c>
      <c r="B80" s="20" t="s">
        <v>131</v>
      </c>
      <c r="C80" s="21" t="s">
        <v>127</v>
      </c>
      <c r="D80" s="22">
        <v>15</v>
      </c>
      <c r="E80" s="22">
        <v>15</v>
      </c>
      <c r="F80" s="22">
        <v>15</v>
      </c>
      <c r="G80" s="22">
        <v>15</v>
      </c>
      <c r="H80" s="31">
        <f>SUM(D80:G80)</f>
        <v>60</v>
      </c>
      <c r="I80" s="22">
        <v>30</v>
      </c>
      <c r="J80" s="22">
        <v>10</v>
      </c>
      <c r="K80" s="22">
        <v>31</v>
      </c>
      <c r="L80" s="22">
        <v>121</v>
      </c>
      <c r="M80" s="32">
        <f>SUM(J80:L80)-I80</f>
        <v>132</v>
      </c>
      <c r="N80" s="22">
        <v>104</v>
      </c>
      <c r="O80" s="22">
        <v>108</v>
      </c>
      <c r="P80" s="33">
        <f>SUM(N80:O80)</f>
        <v>212</v>
      </c>
      <c r="Q80" s="22">
        <v>10000</v>
      </c>
      <c r="R80" s="22">
        <v>9597</v>
      </c>
      <c r="S80" s="22">
        <f>R80-Q80</f>
        <v>-403</v>
      </c>
      <c r="T80" s="22">
        <f>S80/Q80</f>
        <v>-4.0300000000000002E-2</v>
      </c>
      <c r="U80" s="34">
        <f>IF(AND(Q80 &lt;&gt; "", R80 &lt;&gt; ""), MAX(0, IF(Q80 &gt; 0, 350 - ((350 / (0.3 * Q80)) * ABS(Q80 - R80)), 0)), "")</f>
        <v>302.98333333333335</v>
      </c>
      <c r="V80" s="20" t="s">
        <v>45</v>
      </c>
      <c r="W80" s="22">
        <v>150</v>
      </c>
      <c r="X80" s="35">
        <f>IF(OR(U80 &lt;&gt; "", W80&lt;&gt; ""),U80  + W80, "0")</f>
        <v>452.98333333333335</v>
      </c>
      <c r="Y80" s="22"/>
      <c r="Z80" s="22">
        <v>0</v>
      </c>
      <c r="AA80" s="28">
        <f>Z80+Y80</f>
        <v>0</v>
      </c>
      <c r="AD80" s="29">
        <f>AB80+AC80</f>
        <v>0</v>
      </c>
      <c r="AE80" s="22">
        <f>MAX(0, H80+M80+P80+X80+AA80-AD80)</f>
        <v>856.98333333333335</v>
      </c>
      <c r="AF80" s="20">
        <v>4</v>
      </c>
      <c r="AG80" s="23">
        <v>36</v>
      </c>
      <c r="AH80" s="20">
        <v>9597</v>
      </c>
      <c r="AI80" s="20">
        <v>9941</v>
      </c>
      <c r="AJ80" s="24">
        <f t="shared" si="0"/>
        <v>344</v>
      </c>
      <c r="AK80" s="25">
        <f t="shared" si="1"/>
        <v>3.4604164570968717E-2</v>
      </c>
      <c r="AL80" s="26">
        <f ca="1">IFERROR(__xludf.DUMMYFUNCTION("IF(AG106 = 99999, 99999, IF(AND(AG106 &lt;&gt; """", AI106 &lt;&gt; """"), RANK(AI106, FILTER(AI:AI, AG:AG &lt;&gt; 99999), 1), """"))
"),105)</f>
        <v>105</v>
      </c>
      <c r="AM80">
        <f t="shared" si="4"/>
        <v>1</v>
      </c>
      <c r="AN80">
        <f t="shared" si="5"/>
        <v>1</v>
      </c>
    </row>
    <row r="81" spans="1:40" ht="13" x14ac:dyDescent="0.15">
      <c r="A81" s="19">
        <v>318</v>
      </c>
      <c r="B81" s="20" t="s">
        <v>135</v>
      </c>
      <c r="C81" s="21" t="s">
        <v>127</v>
      </c>
      <c r="D81" s="22">
        <v>15</v>
      </c>
      <c r="E81" s="22">
        <v>15</v>
      </c>
      <c r="F81" s="22">
        <v>15</v>
      </c>
      <c r="G81" s="22">
        <v>15</v>
      </c>
      <c r="H81" s="31">
        <f>SUM(D81:G81)</f>
        <v>60</v>
      </c>
      <c r="I81" s="22">
        <v>10</v>
      </c>
      <c r="J81" s="22">
        <v>13.33333333</v>
      </c>
      <c r="K81" s="22">
        <v>31</v>
      </c>
      <c r="L81" s="22">
        <v>120.66666669999999</v>
      </c>
      <c r="M81" s="32">
        <f>SUM(J81:L81)-I81</f>
        <v>155.00000003</v>
      </c>
      <c r="N81" s="22">
        <v>84</v>
      </c>
      <c r="O81" s="22">
        <v>85</v>
      </c>
      <c r="P81" s="33">
        <f>SUM(N81:O81)</f>
        <v>169</v>
      </c>
      <c r="Q81" s="22">
        <v>10000</v>
      </c>
      <c r="R81" s="22">
        <v>9524</v>
      </c>
      <c r="S81" s="22">
        <f>R81-Q81</f>
        <v>-476</v>
      </c>
      <c r="T81" s="22">
        <f>S81/Q81</f>
        <v>-4.7600000000000003E-2</v>
      </c>
      <c r="U81" s="34">
        <f>IF(AND(Q81 &lt;&gt; "", R81 &lt;&gt; ""), MAX(0, IF(Q81 &gt; 0, 350 - ((350 / (0.3 * Q81)) * ABS(Q81 - R81)), 0)), "")</f>
        <v>294.4666666666667</v>
      </c>
      <c r="V81" s="20" t="s">
        <v>48</v>
      </c>
      <c r="W81" s="22"/>
      <c r="X81" s="35">
        <f>IF(OR(U81 &lt;&gt; "", W81&lt;&gt; ""),U81  + W81, "0")</f>
        <v>294.4666666666667</v>
      </c>
      <c r="Y81" s="22"/>
      <c r="Z81" s="22">
        <v>0</v>
      </c>
      <c r="AA81" s="28">
        <f>Z81+Y81</f>
        <v>0</v>
      </c>
      <c r="AD81" s="29">
        <f>AB81+AC81</f>
        <v>0</v>
      </c>
      <c r="AE81" s="22">
        <f>MAX(0, H81+M81+P81+X81+AA81-AD81)</f>
        <v>678.46666669666672</v>
      </c>
      <c r="AF81" s="20">
        <v>8</v>
      </c>
      <c r="AG81" s="23">
        <v>67</v>
      </c>
      <c r="AH81" s="20">
        <v>9524</v>
      </c>
      <c r="AI81" s="20">
        <v>10800</v>
      </c>
      <c r="AJ81" s="24">
        <f t="shared" si="0"/>
        <v>1276</v>
      </c>
      <c r="AK81" s="25">
        <f t="shared" si="1"/>
        <v>0.11814814814814815</v>
      </c>
      <c r="AL81" s="26">
        <f ca="1">IFERROR(__xludf.DUMMYFUNCTION("IF(AG108 = 99999, 99999, IF(AND(AG108 &lt;&gt; """", AI108 &lt;&gt; """"), RANK(AI108, FILTER(AI:AI, AG:AG &lt;&gt; 99999), 1), """"))
"),39)</f>
        <v>39</v>
      </c>
      <c r="AM81">
        <f t="shared" si="4"/>
        <v>0</v>
      </c>
      <c r="AN81">
        <f t="shared" si="5"/>
        <v>1</v>
      </c>
    </row>
    <row r="82" spans="1:40" ht="13" x14ac:dyDescent="0.15">
      <c r="A82" s="19">
        <v>314</v>
      </c>
      <c r="B82" s="20" t="s">
        <v>133</v>
      </c>
      <c r="C82" s="21" t="s">
        <v>127</v>
      </c>
      <c r="D82" s="22">
        <v>15</v>
      </c>
      <c r="E82" s="22">
        <v>15</v>
      </c>
      <c r="F82" s="22">
        <v>15</v>
      </c>
      <c r="G82" s="22">
        <v>15</v>
      </c>
      <c r="H82" s="31">
        <f>SUM(D82:G82)</f>
        <v>60</v>
      </c>
      <c r="I82" s="22">
        <v>10</v>
      </c>
      <c r="J82" s="22">
        <v>20</v>
      </c>
      <c r="K82" s="22">
        <v>31</v>
      </c>
      <c r="L82" s="22">
        <v>115.66666669999999</v>
      </c>
      <c r="M82" s="32">
        <f>SUM(J82:L82)-I82</f>
        <v>156.66666670000001</v>
      </c>
      <c r="N82" s="22">
        <v>110</v>
      </c>
      <c r="O82" s="22">
        <v>102</v>
      </c>
      <c r="P82" s="33">
        <f>SUM(N82:O82)</f>
        <v>212</v>
      </c>
      <c r="Q82" s="22">
        <v>10000</v>
      </c>
      <c r="R82" s="22">
        <v>9215</v>
      </c>
      <c r="S82" s="22">
        <f>R82-Q82</f>
        <v>-785</v>
      </c>
      <c r="T82" s="22">
        <f>S82/Q82</f>
        <v>-7.85E-2</v>
      </c>
      <c r="U82" s="34">
        <f>IF(AND(Q82 &lt;&gt; "", R82 &lt;&gt; ""), MAX(0, IF(Q82 &gt; 0, 350 - ((350 / (0.3 * Q82)) * ABS(Q82 - R82)), 0)), "")</f>
        <v>258.41666666666669</v>
      </c>
      <c r="V82" s="20" t="s">
        <v>45</v>
      </c>
      <c r="W82" s="22">
        <v>150</v>
      </c>
      <c r="X82" s="35">
        <f>IF(OR(U82 &lt;&gt; "", W82&lt;&gt; ""),U82  + W82, "0")</f>
        <v>408.41666666666669</v>
      </c>
      <c r="Y82" s="22"/>
      <c r="Z82" s="22">
        <v>50</v>
      </c>
      <c r="AA82" s="28">
        <f>Z82+Y82</f>
        <v>50</v>
      </c>
      <c r="AD82" s="29">
        <f>AB82+AC82</f>
        <v>0</v>
      </c>
      <c r="AE82" s="22">
        <f>MAX(0, H82+M82+P82+X82+AA82-AD82)</f>
        <v>887.08333336666669</v>
      </c>
      <c r="AF82" s="20">
        <v>2</v>
      </c>
      <c r="AG82" s="23">
        <v>26</v>
      </c>
      <c r="AH82" s="20">
        <v>9215</v>
      </c>
      <c r="AI82" s="20">
        <v>10500</v>
      </c>
      <c r="AJ82" s="24">
        <f t="shared" si="0"/>
        <v>1285</v>
      </c>
      <c r="AK82" s="25">
        <f t="shared" si="1"/>
        <v>0.12238095238095238</v>
      </c>
      <c r="AL82" s="26">
        <f ca="1">IFERROR(__xludf.DUMMYFUNCTION("IF(AG109 = 99999, 99999, IF(AND(AG109 &lt;&gt; """", AI109 &lt;&gt; """"), RANK(AI109, FILTER(AI:AI, AG:AG &lt;&gt; 99999), 1), """"))
"),119)</f>
        <v>119</v>
      </c>
      <c r="AM82">
        <f t="shared" si="4"/>
        <v>1</v>
      </c>
      <c r="AN82">
        <f t="shared" si="5"/>
        <v>1</v>
      </c>
    </row>
    <row r="83" spans="1:40" ht="13" x14ac:dyDescent="0.15">
      <c r="A83" s="19">
        <v>310</v>
      </c>
      <c r="B83" s="20" t="s">
        <v>130</v>
      </c>
      <c r="C83" s="21" t="s">
        <v>127</v>
      </c>
      <c r="D83" s="22">
        <v>15</v>
      </c>
      <c r="E83" s="22">
        <v>15</v>
      </c>
      <c r="F83" s="22">
        <v>15</v>
      </c>
      <c r="G83" s="22">
        <v>10</v>
      </c>
      <c r="H83" s="31">
        <f>SUM(D83:G83)</f>
        <v>55</v>
      </c>
      <c r="I83" s="22">
        <v>25</v>
      </c>
      <c r="J83" s="22">
        <v>20</v>
      </c>
      <c r="K83" s="22">
        <v>28.5</v>
      </c>
      <c r="L83" s="22">
        <v>105.5</v>
      </c>
      <c r="M83" s="32">
        <f>SUM(J83:L83)-I83</f>
        <v>129</v>
      </c>
      <c r="N83" s="22">
        <v>111</v>
      </c>
      <c r="O83" s="22">
        <v>106</v>
      </c>
      <c r="P83" s="33">
        <f>SUM(N83:O83)</f>
        <v>217</v>
      </c>
      <c r="Q83" s="22">
        <v>10000</v>
      </c>
      <c r="R83" s="22">
        <v>7773</v>
      </c>
      <c r="S83" s="22">
        <f>R83-Q83</f>
        <v>-2227</v>
      </c>
      <c r="T83" s="22">
        <f>S83/Q83</f>
        <v>-0.22270000000000001</v>
      </c>
      <c r="U83" s="34">
        <f>IF(AND(Q83 &lt;&gt; "", R83 &lt;&gt; ""), MAX(0, IF(Q83 &gt; 0, 350 - ((350 / (0.3 * Q83)) * ABS(Q83 - R83)), 0)), "")</f>
        <v>90.183333333333337</v>
      </c>
      <c r="V83" s="20" t="s">
        <v>45</v>
      </c>
      <c r="W83" s="22">
        <v>150</v>
      </c>
      <c r="X83" s="35">
        <f>IF(OR(U83 &lt;&gt; "", W83&lt;&gt; ""),U83  + W83, "0")</f>
        <v>240.18333333333334</v>
      </c>
      <c r="Y83" s="22"/>
      <c r="Z83" s="22">
        <v>50</v>
      </c>
      <c r="AA83" s="28">
        <f>Z83+Y83</f>
        <v>50</v>
      </c>
      <c r="AD83" s="29">
        <f>AB83+AC83</f>
        <v>0</v>
      </c>
      <c r="AE83" s="22">
        <f>MAX(0, H83+M83+P83+X83+AA83-AD83)</f>
        <v>691.18333333333339</v>
      </c>
      <c r="AF83" s="20">
        <v>7</v>
      </c>
      <c r="AG83" s="23">
        <v>64</v>
      </c>
      <c r="AH83" s="20">
        <v>7773</v>
      </c>
      <c r="AI83" s="20">
        <v>10380</v>
      </c>
      <c r="AJ83" s="24">
        <f t="shared" si="0"/>
        <v>2607</v>
      </c>
      <c r="AK83" s="25">
        <f t="shared" si="1"/>
        <v>0.25115606936416185</v>
      </c>
      <c r="AL83" s="26">
        <f ca="1">IFERROR(__xludf.DUMMYFUNCTION("IF(AG110 = 99999, 99999, IF(AND(AG110 &lt;&gt; """", AI110 &lt;&gt; """"), RANK(AI110, FILTER(AI:AI, AG:AG &lt;&gt; 99999), 1), """"))
"),47)</f>
        <v>47</v>
      </c>
      <c r="AM83">
        <f t="shared" si="4"/>
        <v>1</v>
      </c>
      <c r="AN83">
        <f t="shared" si="5"/>
        <v>1</v>
      </c>
    </row>
    <row r="84" spans="1:40" ht="13" x14ac:dyDescent="0.15">
      <c r="A84" s="19">
        <v>315</v>
      </c>
      <c r="B84" s="20" t="s">
        <v>134</v>
      </c>
      <c r="C84" s="21" t="s">
        <v>127</v>
      </c>
      <c r="D84" s="22">
        <v>15</v>
      </c>
      <c r="E84" s="22">
        <v>15</v>
      </c>
      <c r="F84" s="22">
        <v>15</v>
      </c>
      <c r="G84" s="22">
        <v>15</v>
      </c>
      <c r="H84" s="31">
        <f>SUM(D84:G84)</f>
        <v>60</v>
      </c>
      <c r="I84" s="22">
        <v>5</v>
      </c>
      <c r="J84" s="22">
        <v>20</v>
      </c>
      <c r="K84" s="22">
        <v>37.333333330000002</v>
      </c>
      <c r="L84" s="22">
        <v>133.33333329999999</v>
      </c>
      <c r="M84" s="32">
        <f>SUM(J84:L84)-I84</f>
        <v>185.66666663000001</v>
      </c>
      <c r="N84" s="22">
        <v>81</v>
      </c>
      <c r="O84" s="22">
        <v>105</v>
      </c>
      <c r="P84" s="33">
        <f>SUM(N84:O84)</f>
        <v>186</v>
      </c>
      <c r="Q84" s="22">
        <v>10000</v>
      </c>
      <c r="R84" s="22">
        <v>5387</v>
      </c>
      <c r="S84" s="22">
        <f>R84-Q84</f>
        <v>-4613</v>
      </c>
      <c r="T84" s="22">
        <f>S84/Q84</f>
        <v>-0.46129999999999999</v>
      </c>
      <c r="U84" s="34">
        <f>IF(AND(Q84 &lt;&gt; "", R84 &lt;&gt; ""), MAX(0, IF(Q84 &gt; 0, 350 - ((350 / (0.3 * Q84)) * ABS(Q84 - R84)), 0)), "")</f>
        <v>0</v>
      </c>
      <c r="V84" s="20" t="s">
        <v>47</v>
      </c>
      <c r="W84" s="22">
        <v>150</v>
      </c>
      <c r="X84" s="35">
        <f>IF(OR(U84 &lt;&gt; "", W84&lt;&gt; ""),U84  + W84, "0")</f>
        <v>150</v>
      </c>
      <c r="Y84" s="22">
        <v>15</v>
      </c>
      <c r="Z84" s="22">
        <v>50</v>
      </c>
      <c r="AA84" s="28">
        <f>Z84+Y84</f>
        <v>65</v>
      </c>
      <c r="AD84" s="29">
        <f>AB84+AC84</f>
        <v>0</v>
      </c>
      <c r="AE84" s="22">
        <f>MAX(0, H84+M84+P84+X84+AA84-AD84)</f>
        <v>646.66666663000001</v>
      </c>
      <c r="AF84" s="20">
        <v>9</v>
      </c>
      <c r="AG84" s="23">
        <v>73</v>
      </c>
      <c r="AH84" s="20">
        <v>5387</v>
      </c>
      <c r="AI84" s="20">
        <v>9872</v>
      </c>
      <c r="AJ84" s="24">
        <f t="shared" si="0"/>
        <v>4485</v>
      </c>
      <c r="AK84" s="25">
        <f t="shared" si="1"/>
        <v>0.45431523500810372</v>
      </c>
      <c r="AL84" s="26">
        <f ca="1">IFERROR(__xludf.DUMMYFUNCTION("IF(AG111 = 99999, 99999, IF(AND(AG111 &lt;&gt; """", AI111 &lt;&gt; """"), RANK(AI111, FILTER(AI:AI, AG:AG &lt;&gt; 99999), 1), """"))
"),118)</f>
        <v>118</v>
      </c>
      <c r="AM84">
        <f t="shared" si="4"/>
        <v>1</v>
      </c>
      <c r="AN84">
        <f t="shared" si="5"/>
        <v>1</v>
      </c>
    </row>
    <row r="85" spans="1:40" ht="13" x14ac:dyDescent="0.15">
      <c r="A85" s="19">
        <v>218</v>
      </c>
      <c r="B85" s="20" t="s">
        <v>121</v>
      </c>
      <c r="C85" s="21" t="s">
        <v>113</v>
      </c>
      <c r="D85" s="22">
        <v>15</v>
      </c>
      <c r="E85" s="22">
        <v>15</v>
      </c>
      <c r="F85" s="22">
        <v>15</v>
      </c>
      <c r="G85" s="22">
        <v>15</v>
      </c>
      <c r="H85" s="31">
        <f>SUM(D85:G85)</f>
        <v>60</v>
      </c>
      <c r="I85" s="22">
        <v>5</v>
      </c>
      <c r="J85" s="22">
        <v>13.33333333</v>
      </c>
      <c r="K85" s="22">
        <v>33</v>
      </c>
      <c r="L85" s="22">
        <v>117</v>
      </c>
      <c r="M85" s="32">
        <f>SUM(J85:L85)-I85</f>
        <v>158.33333333000002</v>
      </c>
      <c r="N85" s="22">
        <v>101</v>
      </c>
      <c r="O85" s="22">
        <v>105</v>
      </c>
      <c r="P85" s="33">
        <f>SUM(N85:O85)</f>
        <v>206</v>
      </c>
      <c r="Q85" s="22">
        <v>30000</v>
      </c>
      <c r="R85" s="22">
        <v>29541</v>
      </c>
      <c r="S85" s="22">
        <f>R85-Q85</f>
        <v>-459</v>
      </c>
      <c r="T85" s="22">
        <f>S85/Q85</f>
        <v>-1.5299999999999999E-2</v>
      </c>
      <c r="U85" s="34">
        <f>IF(AND(Q85 &lt;&gt; "", R85 &lt;&gt; ""), MAX(0, IF(Q85 &gt; 0, 350 - ((350 / (0.3 * Q85)) * ABS(Q85 - R85)), 0)), "")</f>
        <v>332.15</v>
      </c>
      <c r="V85" s="20" t="s">
        <v>45</v>
      </c>
      <c r="W85" s="22">
        <v>150</v>
      </c>
      <c r="X85" s="35">
        <f>IF(OR(U85 &lt;&gt; "", W85&lt;&gt; ""),U85  + W85, "0")</f>
        <v>482.15</v>
      </c>
      <c r="Y85" s="22">
        <v>30</v>
      </c>
      <c r="Z85" s="22">
        <v>50</v>
      </c>
      <c r="AA85" s="28">
        <f>Z85+Y85</f>
        <v>80</v>
      </c>
      <c r="AD85" s="29">
        <f>AB85+AC85</f>
        <v>0</v>
      </c>
      <c r="AE85" s="22">
        <f>MAX(0, H85+M85+P85+X85+AA85-AD85)</f>
        <v>986.48333333000005</v>
      </c>
      <c r="AF85" s="20">
        <v>2</v>
      </c>
      <c r="AG85" s="23">
        <v>7</v>
      </c>
      <c r="AH85" s="20">
        <v>29541</v>
      </c>
      <c r="AI85" s="20">
        <v>27817</v>
      </c>
      <c r="AJ85" s="24">
        <f t="shared" si="0"/>
        <v>1724</v>
      </c>
      <c r="AK85" s="25">
        <f t="shared" si="1"/>
        <v>6.197648919725348E-2</v>
      </c>
      <c r="AL85" s="26">
        <f ca="1">IFERROR(__xludf.DUMMYFUNCTION("IF(AG112 = 99999, 99999, IF(AND(AG112 &lt;&gt; """", AI112 &lt;&gt; """"), RANK(AI112, FILTER(AI:AI, AG:AG &lt;&gt; 99999), 1), """"))
"),89)</f>
        <v>89</v>
      </c>
      <c r="AM85">
        <f t="shared" si="4"/>
        <v>1</v>
      </c>
      <c r="AN85">
        <f t="shared" si="5"/>
        <v>1</v>
      </c>
    </row>
    <row r="86" spans="1:40" ht="13" x14ac:dyDescent="0.15">
      <c r="A86" s="19">
        <v>207</v>
      </c>
      <c r="B86" s="20" t="s">
        <v>117</v>
      </c>
      <c r="C86" s="21" t="s">
        <v>113</v>
      </c>
      <c r="D86" s="22">
        <v>15</v>
      </c>
      <c r="E86" s="22">
        <v>15</v>
      </c>
      <c r="F86" s="22">
        <v>15</v>
      </c>
      <c r="G86" s="22">
        <v>15</v>
      </c>
      <c r="H86" s="31">
        <f>SUM(D86:G86)</f>
        <v>60</v>
      </c>
      <c r="I86" s="22">
        <v>20</v>
      </c>
      <c r="J86" s="22">
        <v>19.666666670000001</v>
      </c>
      <c r="K86" s="22">
        <v>35.333333330000002</v>
      </c>
      <c r="L86" s="22">
        <v>129.33333329999999</v>
      </c>
      <c r="M86" s="32">
        <f>SUM(J86:L86)-I86</f>
        <v>164.33333329999999</v>
      </c>
      <c r="N86" s="22">
        <v>98</v>
      </c>
      <c r="O86" s="22">
        <v>104</v>
      </c>
      <c r="P86" s="33">
        <f>SUM(N86:O86)</f>
        <v>202</v>
      </c>
      <c r="Q86" s="22">
        <v>30000</v>
      </c>
      <c r="R86" s="22">
        <v>29432</v>
      </c>
      <c r="S86" s="22">
        <f>R86-Q86</f>
        <v>-568</v>
      </c>
      <c r="T86" s="22">
        <f>S86/Q86</f>
        <v>-1.8933333333333333E-2</v>
      </c>
      <c r="U86" s="34">
        <f>IF(AND(Q86 &lt;&gt; "", R86 &lt;&gt; ""), MAX(0, IF(Q86 &gt; 0, 350 - ((350 / (0.3 * Q86)) * ABS(Q86 - R86)), 0)), "")</f>
        <v>327.9111111111111</v>
      </c>
      <c r="V86" s="20" t="s">
        <v>45</v>
      </c>
      <c r="W86" s="22">
        <v>150</v>
      </c>
      <c r="X86" s="35">
        <f>IF(OR(U86 &lt;&gt; "", W86&lt;&gt; ""),U86  + W86, "0")</f>
        <v>477.9111111111111</v>
      </c>
      <c r="Y86" s="22">
        <v>15</v>
      </c>
      <c r="Z86" s="22">
        <v>0</v>
      </c>
      <c r="AA86" s="28">
        <f>Z86+Y86</f>
        <v>15</v>
      </c>
      <c r="AB86" s="22"/>
      <c r="AC86" s="22">
        <v>20</v>
      </c>
      <c r="AD86" s="29">
        <f>AB86+AC86</f>
        <v>20</v>
      </c>
      <c r="AE86" s="22">
        <f>MAX(0, H86+M86+P86+X86+AA86-AD86)</f>
        <v>899.24444441111109</v>
      </c>
      <c r="AF86" s="20">
        <v>4</v>
      </c>
      <c r="AG86" s="23">
        <v>23</v>
      </c>
      <c r="AH86" s="20">
        <v>29432</v>
      </c>
      <c r="AI86" s="20">
        <v>30198</v>
      </c>
      <c r="AJ86" s="24">
        <f t="shared" si="0"/>
        <v>766</v>
      </c>
      <c r="AK86" s="25">
        <f t="shared" si="1"/>
        <v>2.5365918272733292E-2</v>
      </c>
      <c r="AL86" s="26">
        <f ca="1">IFERROR(__xludf.DUMMYFUNCTION("IF(AG113 = 99999, 99999, IF(AND(AG113 &lt;&gt; """", AI113 &lt;&gt; """"), RANK(AI113, FILTER(AI:AI, AG:AG &lt;&gt; 99999), 1), """"))
"),62)</f>
        <v>62</v>
      </c>
      <c r="AM86">
        <f t="shared" si="4"/>
        <v>1</v>
      </c>
      <c r="AN86">
        <f t="shared" si="5"/>
        <v>1</v>
      </c>
    </row>
    <row r="87" spans="1:40" ht="13" x14ac:dyDescent="0.15">
      <c r="A87" s="19">
        <v>208</v>
      </c>
      <c r="B87" s="20" t="s">
        <v>118</v>
      </c>
      <c r="C87" s="21" t="s">
        <v>113</v>
      </c>
      <c r="D87" s="22">
        <v>15</v>
      </c>
      <c r="E87" s="22">
        <v>15</v>
      </c>
      <c r="F87" s="22">
        <v>15</v>
      </c>
      <c r="G87" s="22">
        <v>15</v>
      </c>
      <c r="H87" s="31">
        <f>SUM(D87:G87)</f>
        <v>60</v>
      </c>
      <c r="I87" s="22">
        <v>5</v>
      </c>
      <c r="J87" s="22">
        <v>13</v>
      </c>
      <c r="K87" s="22">
        <v>34.333333330000002</v>
      </c>
      <c r="L87" s="22">
        <v>124.33333330000001</v>
      </c>
      <c r="M87" s="32">
        <f>SUM(J87:L87)-I87</f>
        <v>166.66666663000001</v>
      </c>
      <c r="N87" s="22">
        <v>120</v>
      </c>
      <c r="O87" s="22">
        <v>120</v>
      </c>
      <c r="P87" s="33">
        <f>SUM(N87:O87)</f>
        <v>240</v>
      </c>
      <c r="Q87" s="22">
        <v>30000</v>
      </c>
      <c r="R87" s="22">
        <v>28639</v>
      </c>
      <c r="S87" s="22">
        <f>R87-Q87</f>
        <v>-1361</v>
      </c>
      <c r="T87" s="22">
        <f>S87/Q87</f>
        <v>-4.5366666666666666E-2</v>
      </c>
      <c r="U87" s="34">
        <f>IF(AND(Q87 &lt;&gt; "", R87 &lt;&gt; ""), MAX(0, IF(Q87 &gt; 0, 350 - ((350 / (0.3 * Q87)) * ABS(Q87 - R87)), 0)), "")</f>
        <v>297.07222222222219</v>
      </c>
      <c r="V87" s="20" t="s">
        <v>47</v>
      </c>
      <c r="W87" s="22">
        <v>150</v>
      </c>
      <c r="X87" s="35">
        <f>IF(OR(U87 &lt;&gt; "", W87&lt;&gt; ""),U87  + W87, "0")</f>
        <v>447.07222222222219</v>
      </c>
      <c r="Y87" s="22">
        <v>30</v>
      </c>
      <c r="Z87" s="22">
        <v>50</v>
      </c>
      <c r="AA87" s="28">
        <f>Z87+Y87</f>
        <v>80</v>
      </c>
      <c r="AD87" s="29">
        <f>AB87+AC87</f>
        <v>0</v>
      </c>
      <c r="AE87" s="22">
        <f>MAX(0, H87+M87+P87+X87+AA87-AD87)</f>
        <v>993.7388888522222</v>
      </c>
      <c r="AF87" s="20">
        <v>1</v>
      </c>
      <c r="AG87" s="23">
        <v>6</v>
      </c>
      <c r="AH87" s="20">
        <v>28639</v>
      </c>
      <c r="AI87" s="20">
        <v>30083.9</v>
      </c>
      <c r="AJ87" s="24">
        <f t="shared" si="0"/>
        <v>1444.9000000000015</v>
      </c>
      <c r="AK87" s="25">
        <f t="shared" si="1"/>
        <v>4.8029012195892201E-2</v>
      </c>
      <c r="AL87" s="26">
        <f ca="1">IFERROR(__xludf.DUMMYFUNCTION("IF(AG114 = 99999, 99999, IF(AND(AG114 &lt;&gt; """", AI114 &lt;&gt; """"), RANK(AI114, FILTER(AI:AI, AG:AG &lt;&gt; 99999), 1), """"))
"),67)</f>
        <v>67</v>
      </c>
      <c r="AM87">
        <f t="shared" si="4"/>
        <v>1</v>
      </c>
      <c r="AN87">
        <f t="shared" si="5"/>
        <v>1</v>
      </c>
    </row>
    <row r="88" spans="1:40" ht="13" x14ac:dyDescent="0.15">
      <c r="A88" s="19">
        <v>216</v>
      </c>
      <c r="B88" s="20" t="s">
        <v>120</v>
      </c>
      <c r="C88" s="21" t="s">
        <v>113</v>
      </c>
      <c r="D88" s="22">
        <v>15</v>
      </c>
      <c r="E88" s="22">
        <v>15</v>
      </c>
      <c r="F88" s="22">
        <v>15</v>
      </c>
      <c r="G88" s="22">
        <v>10</v>
      </c>
      <c r="H88" s="31">
        <f>SUM(D88:G88)</f>
        <v>55</v>
      </c>
      <c r="I88" s="22">
        <v>5</v>
      </c>
      <c r="J88" s="22">
        <v>20</v>
      </c>
      <c r="K88" s="22">
        <v>36.666666669999998</v>
      </c>
      <c r="L88" s="22">
        <v>131</v>
      </c>
      <c r="M88" s="32">
        <f>SUM(J88:L88)-I88</f>
        <v>182.66666666999998</v>
      </c>
      <c r="N88" s="22">
        <v>118</v>
      </c>
      <c r="O88" s="22">
        <v>113</v>
      </c>
      <c r="P88" s="33">
        <f>SUM(N88:O88)</f>
        <v>231</v>
      </c>
      <c r="Q88" s="22">
        <v>30000</v>
      </c>
      <c r="R88" s="22">
        <v>28460</v>
      </c>
      <c r="S88" s="22">
        <f>R88-Q88</f>
        <v>-1540</v>
      </c>
      <c r="T88" s="22">
        <f>S88/Q88</f>
        <v>-5.1333333333333335E-2</v>
      </c>
      <c r="U88" s="34">
        <f>IF(AND(Q88 &lt;&gt; "", R88 &lt;&gt; ""), MAX(0, IF(Q88 &gt; 0, 350 - ((350 / (0.3 * Q88)) * ABS(Q88 - R88)), 0)), "")</f>
        <v>290.11111111111109</v>
      </c>
      <c r="V88" s="20" t="s">
        <v>48</v>
      </c>
      <c r="W88" s="22"/>
      <c r="X88" s="35">
        <f>IF(OR(U88 &lt;&gt; "", W88&lt;&gt; ""),U88  + W88, "0")</f>
        <v>290.11111111111109</v>
      </c>
      <c r="Y88" s="22">
        <v>45</v>
      </c>
      <c r="Z88" s="22">
        <v>50</v>
      </c>
      <c r="AA88" s="28">
        <f>Z88+Y88</f>
        <v>95</v>
      </c>
      <c r="AD88" s="29">
        <f>AB88+AC88</f>
        <v>0</v>
      </c>
      <c r="AE88" s="22">
        <f>MAX(0, H88+M88+P88+X88+AA88-AD88)</f>
        <v>853.77777778111113</v>
      </c>
      <c r="AF88" s="20">
        <v>5</v>
      </c>
      <c r="AG88" s="23">
        <v>38</v>
      </c>
      <c r="AH88" s="20">
        <v>28460</v>
      </c>
      <c r="AI88" s="20">
        <v>30000</v>
      </c>
      <c r="AJ88" s="24">
        <f t="shared" si="0"/>
        <v>1540</v>
      </c>
      <c r="AK88" s="25">
        <f t="shared" si="1"/>
        <v>5.1333333333333335E-2</v>
      </c>
      <c r="AL88" s="26" t="str">
        <f ca="1">IFERROR(__xludf.DUMMYFUNCTION("IF(AG115 = 99999, 99999, IF(AND(AG115 &lt;&gt; """", AI115 &lt;&gt; """"), RANK(AI115, FILTER(AI:AI, AG:AG &lt;&gt; 99999), 1), """"))
"),"")</f>
        <v/>
      </c>
      <c r="AM88">
        <f t="shared" si="4"/>
        <v>0</v>
      </c>
      <c r="AN88">
        <f t="shared" si="5"/>
        <v>1</v>
      </c>
    </row>
    <row r="89" spans="1:40" ht="13" x14ac:dyDescent="0.15">
      <c r="A89" s="19">
        <v>204</v>
      </c>
      <c r="B89" s="20" t="s">
        <v>116</v>
      </c>
      <c r="C89" s="21" t="s">
        <v>113</v>
      </c>
      <c r="D89" s="22">
        <v>15</v>
      </c>
      <c r="E89" s="22">
        <v>15</v>
      </c>
      <c r="F89" s="22">
        <v>15</v>
      </c>
      <c r="G89" s="22">
        <v>15</v>
      </c>
      <c r="H89" s="31">
        <f>SUM(D89:G89)</f>
        <v>60</v>
      </c>
      <c r="I89" s="22">
        <v>0</v>
      </c>
      <c r="J89" s="22">
        <v>19.666666670000001</v>
      </c>
      <c r="K89" s="22">
        <v>37.333333330000002</v>
      </c>
      <c r="L89" s="22">
        <v>134.66666670000001</v>
      </c>
      <c r="M89" s="32">
        <f>SUM(J89:L89)-I89</f>
        <v>191.66666670000001</v>
      </c>
      <c r="N89" s="22">
        <v>120</v>
      </c>
      <c r="O89" s="22">
        <v>117</v>
      </c>
      <c r="P89" s="33">
        <f>SUM(N89:O89)</f>
        <v>237</v>
      </c>
      <c r="Q89" s="22">
        <v>30000</v>
      </c>
      <c r="R89" s="22">
        <v>27541</v>
      </c>
      <c r="S89" s="22">
        <f>R89-Q89</f>
        <v>-2459</v>
      </c>
      <c r="T89" s="22">
        <f>S89/Q89</f>
        <v>-8.196666666666666E-2</v>
      </c>
      <c r="U89" s="34">
        <f>IF(AND(Q89 &lt;&gt; "", R89 &lt;&gt; ""), MAX(0, IF(Q89 &gt; 0, 350 - ((350 / (0.3 * Q89)) * ABS(Q89 - R89)), 0)), "")</f>
        <v>254.37222222222221</v>
      </c>
      <c r="V89" s="20" t="s">
        <v>45</v>
      </c>
      <c r="W89" s="22">
        <v>150</v>
      </c>
      <c r="X89" s="35">
        <f>IF(OR(U89 &lt;&gt; "", W89&lt;&gt; ""),U89  + W89, "0")</f>
        <v>404.37222222222221</v>
      </c>
      <c r="Y89" s="22">
        <v>15</v>
      </c>
      <c r="Z89" s="22">
        <v>0</v>
      </c>
      <c r="AA89" s="28">
        <f>Z89+Y89</f>
        <v>15</v>
      </c>
      <c r="AD89" s="29">
        <f>AB89+AC89</f>
        <v>0</v>
      </c>
      <c r="AE89" s="22">
        <f>MAX(0, H89+M89+P89+X89+AA89-AD89)</f>
        <v>908.03888892222221</v>
      </c>
      <c r="AF89" s="20">
        <v>3</v>
      </c>
      <c r="AG89" s="23">
        <v>19</v>
      </c>
      <c r="AH89" s="20">
        <v>27541</v>
      </c>
      <c r="AI89" s="20">
        <v>29469</v>
      </c>
      <c r="AJ89" s="24">
        <f t="shared" si="0"/>
        <v>1928</v>
      </c>
      <c r="AK89" s="25">
        <f t="shared" si="1"/>
        <v>6.5424683565780989E-2</v>
      </c>
      <c r="AL89" s="26">
        <f ca="1">IFERROR(__xludf.DUMMYFUNCTION("IF(AG116 = 99999, 99999, IF(AND(AG116 &lt;&gt; """", AI116 &lt;&gt; """"), RANK(AI116, FILTER(AI:AI, AG:AG &lt;&gt; 99999), 1), """"))
"),104)</f>
        <v>104</v>
      </c>
      <c r="AM89">
        <f t="shared" si="4"/>
        <v>1</v>
      </c>
      <c r="AN89">
        <f t="shared" si="5"/>
        <v>1</v>
      </c>
    </row>
    <row r="90" spans="1:40" ht="13" x14ac:dyDescent="0.15">
      <c r="A90" s="19">
        <v>222</v>
      </c>
      <c r="B90" s="20" t="s">
        <v>124</v>
      </c>
      <c r="C90" s="21" t="s">
        <v>113</v>
      </c>
      <c r="D90" s="22">
        <v>15</v>
      </c>
      <c r="E90" s="22">
        <v>15</v>
      </c>
      <c r="F90" s="22">
        <v>15</v>
      </c>
      <c r="G90" s="22">
        <v>15</v>
      </c>
      <c r="H90" s="31">
        <f>SUM(D90:G90)</f>
        <v>60</v>
      </c>
      <c r="I90" s="22">
        <v>5</v>
      </c>
      <c r="J90" s="22">
        <v>19.666666670000001</v>
      </c>
      <c r="K90" s="22">
        <v>35.666666669999998</v>
      </c>
      <c r="L90" s="22">
        <v>125</v>
      </c>
      <c r="M90" s="32">
        <f>SUM(J90:L90)-I90</f>
        <v>175.33333334</v>
      </c>
      <c r="N90" s="22">
        <v>70</v>
      </c>
      <c r="O90" s="22">
        <v>103</v>
      </c>
      <c r="P90" s="33">
        <f>SUM(N90:O90)</f>
        <v>173</v>
      </c>
      <c r="Q90" s="22">
        <v>30000</v>
      </c>
      <c r="R90" s="22">
        <v>21377</v>
      </c>
      <c r="S90" s="22">
        <f>R90-Q90</f>
        <v>-8623</v>
      </c>
      <c r="T90" s="22">
        <f>S90/Q90</f>
        <v>-0.28743333333333332</v>
      </c>
      <c r="U90" s="34">
        <f>IF(AND(Q90 &lt;&gt; "", R90 &lt;&gt; ""), MAX(0, IF(Q90 &gt; 0, 350 - ((350 / (0.3 * Q90)) * ABS(Q90 - R90)), 0)), "")</f>
        <v>14.661111111111097</v>
      </c>
      <c r="V90" s="20" t="s">
        <v>45</v>
      </c>
      <c r="W90" s="22">
        <v>150</v>
      </c>
      <c r="X90" s="35">
        <f>IF(OR(U90 &lt;&gt; "", W90&lt;&gt; ""),U90  + W90, "0")</f>
        <v>164.6611111111111</v>
      </c>
      <c r="Y90" s="22"/>
      <c r="Z90" s="22">
        <v>50</v>
      </c>
      <c r="AA90" s="28">
        <f>Z90+Y90</f>
        <v>50</v>
      </c>
      <c r="AD90" s="29">
        <f>AB90+AC90</f>
        <v>0</v>
      </c>
      <c r="AE90" s="22">
        <f>MAX(0, H90+M90+P90+X90+AA90-AD90)</f>
        <v>622.99444445111112</v>
      </c>
      <c r="AF90" s="20">
        <v>6</v>
      </c>
      <c r="AG90" s="23">
        <v>80</v>
      </c>
      <c r="AH90" s="20">
        <v>21377</v>
      </c>
      <c r="AI90" s="20">
        <v>24676</v>
      </c>
      <c r="AJ90" s="24">
        <f t="shared" si="0"/>
        <v>3299</v>
      </c>
      <c r="AK90" s="25">
        <f t="shared" si="1"/>
        <v>0.13369265683254986</v>
      </c>
      <c r="AL90" s="26" t="str">
        <f ca="1">IFERROR(__xludf.DUMMYFUNCTION("IF(AG117 = 99999, 99999, IF(AND(AG117 &lt;&gt; """", AI117 &lt;&gt; """"), RANK(AI117, FILTER(AI:AI, AG:AG &lt;&gt; 99999), 1), """"))
"),"")</f>
        <v/>
      </c>
      <c r="AM90">
        <f t="shared" si="4"/>
        <v>1</v>
      </c>
      <c r="AN90">
        <f t="shared" si="5"/>
        <v>1</v>
      </c>
    </row>
    <row r="91" spans="1:40" ht="13" x14ac:dyDescent="0.15">
      <c r="A91" s="19">
        <v>220</v>
      </c>
      <c r="B91" s="20" t="s">
        <v>122</v>
      </c>
      <c r="C91" s="21" t="s">
        <v>113</v>
      </c>
      <c r="D91" s="22">
        <v>15</v>
      </c>
      <c r="E91" s="22">
        <v>15</v>
      </c>
      <c r="F91" s="22">
        <v>15</v>
      </c>
      <c r="G91" s="22">
        <v>15</v>
      </c>
      <c r="H91" s="31">
        <f>SUM(D91:G91)</f>
        <v>60</v>
      </c>
      <c r="I91" s="22">
        <v>5</v>
      </c>
      <c r="J91" s="22">
        <v>13.33333333</v>
      </c>
      <c r="K91" s="22">
        <v>35.333333330000002</v>
      </c>
      <c r="L91" s="22">
        <v>118.33333330000001</v>
      </c>
      <c r="M91" s="32">
        <f>SUM(J91:L91)-I91</f>
        <v>161.99999996000003</v>
      </c>
      <c r="N91" s="22">
        <v>98</v>
      </c>
      <c r="O91" s="22">
        <v>99</v>
      </c>
      <c r="P91" s="33">
        <f>SUM(N91:O91)</f>
        <v>197</v>
      </c>
      <c r="Q91" s="22">
        <v>30000</v>
      </c>
      <c r="R91" s="22">
        <v>18886</v>
      </c>
      <c r="S91" s="22">
        <f>R91-Q91</f>
        <v>-11114</v>
      </c>
      <c r="T91" s="22">
        <f>S91/Q91</f>
        <v>-0.37046666666666667</v>
      </c>
      <c r="U91" s="34">
        <f>IF(AND(Q91 &lt;&gt; "", R91 &lt;&gt; ""), MAX(0, IF(Q91 &gt; 0, 350 - ((350 / (0.3 * Q91)) * ABS(Q91 - R91)), 0)), "")</f>
        <v>0</v>
      </c>
      <c r="V91" s="20" t="s">
        <v>47</v>
      </c>
      <c r="W91" s="22">
        <v>150</v>
      </c>
      <c r="X91" s="35">
        <f>IF(OR(U91 &lt;&gt; "", W91&lt;&gt; ""),U91  + W91, "0")</f>
        <v>150</v>
      </c>
      <c r="Y91" s="22"/>
      <c r="Z91" s="22">
        <v>50</v>
      </c>
      <c r="AA91" s="28">
        <f>Z91+Y91</f>
        <v>50</v>
      </c>
      <c r="AD91" s="29">
        <f>AB91+AC91</f>
        <v>0</v>
      </c>
      <c r="AE91" s="22">
        <f>MAX(0, H91+M91+P91+X91+AA91-AD91)</f>
        <v>618.99999995999997</v>
      </c>
      <c r="AF91" s="20">
        <v>7</v>
      </c>
      <c r="AG91" s="23">
        <v>82</v>
      </c>
      <c r="AH91" s="20">
        <v>18886</v>
      </c>
      <c r="AI91" s="20">
        <v>25884</v>
      </c>
      <c r="AJ91" s="24">
        <f t="shared" si="0"/>
        <v>6998</v>
      </c>
      <c r="AK91" s="25">
        <f t="shared" si="1"/>
        <v>0.27036006799567303</v>
      </c>
      <c r="AL91" s="26">
        <f ca="1">IFERROR(__xludf.DUMMYFUNCTION("IF(AG118 = 99999, 99999, IF(AND(AG118 &lt;&gt; """", AI118 &lt;&gt; """"), RANK(AI118, FILTER(AI:AI, AG:AG &lt;&gt; 99999), 1), """"))
"),4)</f>
        <v>4</v>
      </c>
      <c r="AM91">
        <f t="shared" si="4"/>
        <v>1</v>
      </c>
      <c r="AN91">
        <f t="shared" si="5"/>
        <v>1</v>
      </c>
    </row>
    <row r="92" spans="1:40" ht="13" x14ac:dyDescent="0.15">
      <c r="A92" s="19">
        <v>201</v>
      </c>
      <c r="B92" s="20" t="s">
        <v>114</v>
      </c>
      <c r="C92" s="21" t="s">
        <v>113</v>
      </c>
      <c r="D92" s="22">
        <v>15</v>
      </c>
      <c r="E92" s="22">
        <v>15</v>
      </c>
      <c r="F92" s="22">
        <v>15</v>
      </c>
      <c r="G92" s="22">
        <v>15</v>
      </c>
      <c r="H92" s="31">
        <f>SUM(D92:G92)</f>
        <v>60</v>
      </c>
      <c r="I92" s="22">
        <v>200</v>
      </c>
      <c r="J92" s="22">
        <v>20</v>
      </c>
      <c r="K92" s="22">
        <v>36</v>
      </c>
      <c r="L92" s="22">
        <v>132.66666670000001</v>
      </c>
      <c r="M92" s="32">
        <f>SUM(J92:L92)-I92</f>
        <v>-11.333333299999993</v>
      </c>
      <c r="N92" s="22">
        <v>120</v>
      </c>
      <c r="O92" s="22">
        <v>118</v>
      </c>
      <c r="P92" s="33">
        <f>SUM(N92:O92)</f>
        <v>238</v>
      </c>
      <c r="Q92" s="22">
        <v>30000</v>
      </c>
      <c r="R92" s="22">
        <v>17041</v>
      </c>
      <c r="S92" s="22">
        <f>R92-Q92</f>
        <v>-12959</v>
      </c>
      <c r="T92" s="22">
        <f>S92/Q92</f>
        <v>-0.43196666666666667</v>
      </c>
      <c r="U92" s="34">
        <f>IF(AND(Q92 &lt;&gt; "", R92 &lt;&gt; ""), MAX(0, IF(Q92 &gt; 0, 350 - ((350 / (0.3 * Q92)) * ABS(Q92 - R92)), 0)), "")</f>
        <v>0</v>
      </c>
      <c r="V92" s="20" t="s">
        <v>48</v>
      </c>
      <c r="W92" s="22"/>
      <c r="X92" s="35">
        <f>IF(OR(U92 &lt;&gt; "", W92&lt;&gt; ""),U92  + W92, "0")</f>
        <v>0</v>
      </c>
      <c r="Y92" s="22"/>
      <c r="Z92" s="22">
        <v>50</v>
      </c>
      <c r="AA92" s="28">
        <f>Z92+Y92</f>
        <v>50</v>
      </c>
      <c r="AD92" s="29">
        <f>AB92+AC92</f>
        <v>0</v>
      </c>
      <c r="AE92" s="22">
        <f>MAX(0, H92+M92+P92+X92+AA92-AD92)</f>
        <v>336.66666670000001</v>
      </c>
      <c r="AF92" s="20">
        <v>19</v>
      </c>
      <c r="AG92" s="23">
        <v>128</v>
      </c>
      <c r="AH92" s="20">
        <v>17041</v>
      </c>
      <c r="AI92" s="20">
        <v>30000</v>
      </c>
      <c r="AJ92" s="24">
        <f t="shared" si="0"/>
        <v>12959</v>
      </c>
      <c r="AK92" s="25">
        <f t="shared" si="1"/>
        <v>0.43196666666666667</v>
      </c>
      <c r="AL92" s="26">
        <f ca="1">IFERROR(__xludf.DUMMYFUNCTION("IF(AG119 = 99999, 99999, IF(AND(AG119 &lt;&gt; """", AI119 &lt;&gt; """"), RANK(AI119, FILTER(AI:AI, AG:AG &lt;&gt; 99999), 1), """"))
"),5)</f>
        <v>5</v>
      </c>
      <c r="AM92">
        <f t="shared" si="4"/>
        <v>0</v>
      </c>
      <c r="AN92">
        <f t="shared" si="5"/>
        <v>1</v>
      </c>
    </row>
    <row r="93" spans="1:40" ht="13" x14ac:dyDescent="0.15">
      <c r="A93" s="19">
        <v>203</v>
      </c>
      <c r="B93" s="20" t="s">
        <v>115</v>
      </c>
      <c r="C93" s="21" t="s">
        <v>113</v>
      </c>
      <c r="D93" s="22">
        <v>15</v>
      </c>
      <c r="E93" s="22">
        <v>15</v>
      </c>
      <c r="F93" s="22">
        <v>15</v>
      </c>
      <c r="G93" s="22">
        <v>15</v>
      </c>
      <c r="H93" s="31">
        <f>SUM(D93:G93)</f>
        <v>60</v>
      </c>
      <c r="I93" s="22">
        <v>5</v>
      </c>
      <c r="J93" s="22">
        <v>19.666666670000001</v>
      </c>
      <c r="K93" s="22">
        <v>35.666666669999998</v>
      </c>
      <c r="L93" s="22">
        <v>131.33333329999999</v>
      </c>
      <c r="M93" s="32">
        <f>SUM(J93:L93)-I93</f>
        <v>181.66666663999999</v>
      </c>
      <c r="N93" s="22">
        <v>120</v>
      </c>
      <c r="O93" s="22">
        <v>114</v>
      </c>
      <c r="P93" s="33">
        <f>SUM(N93:O93)</f>
        <v>234</v>
      </c>
      <c r="Q93" s="22">
        <v>30000</v>
      </c>
      <c r="R93" s="22">
        <v>14995</v>
      </c>
      <c r="S93" s="22">
        <f>R93-Q93</f>
        <v>-15005</v>
      </c>
      <c r="T93" s="22">
        <f>S93/Q93</f>
        <v>-0.50016666666666665</v>
      </c>
      <c r="U93" s="34">
        <f>IF(AND(Q93 &lt;&gt; "", R93 &lt;&gt; ""), MAX(0, IF(Q93 &gt; 0, 350 - ((350 / (0.3 * Q93)) * ABS(Q93 - R93)), 0)), "")</f>
        <v>0</v>
      </c>
      <c r="V93" s="20" t="s">
        <v>48</v>
      </c>
      <c r="W93" s="22"/>
      <c r="X93" s="35">
        <f>IF(OR(U93 &lt;&gt; "", W93&lt;&gt; ""),U93  + W93, "0")</f>
        <v>0</v>
      </c>
      <c r="Y93" s="22">
        <v>15</v>
      </c>
      <c r="Z93" s="22">
        <v>50</v>
      </c>
      <c r="AA93" s="28">
        <f>Z93+Y93</f>
        <v>65</v>
      </c>
      <c r="AD93" s="29">
        <f>AB93+AC93</f>
        <v>0</v>
      </c>
      <c r="AE93" s="22">
        <f>MAX(0, H93+M93+P93+X93+AA93-AD93)</f>
        <v>540.66666664000002</v>
      </c>
      <c r="AF93" s="20">
        <v>8</v>
      </c>
      <c r="AG93" s="23">
        <v>89</v>
      </c>
      <c r="AH93" s="20">
        <v>14995</v>
      </c>
      <c r="AI93" s="20">
        <v>32176</v>
      </c>
      <c r="AJ93" s="24">
        <f t="shared" si="0"/>
        <v>17181</v>
      </c>
      <c r="AK93" s="25">
        <f t="shared" si="1"/>
        <v>0.53396941819990051</v>
      </c>
      <c r="AL93" s="26">
        <f ca="1">IFERROR(__xludf.DUMMYFUNCTION("IF(AG121 = 99999, 99999, IF(AND(AG121 &lt;&gt; """", AI121 &lt;&gt; """"), RANK(AI121, FILTER(AI:AI, AG:AG &lt;&gt; 99999), 1), """"))
"),107)</f>
        <v>107</v>
      </c>
      <c r="AM93">
        <f t="shared" si="4"/>
        <v>0</v>
      </c>
      <c r="AN93">
        <f t="shared" si="5"/>
        <v>1</v>
      </c>
    </row>
    <row r="94" spans="1:40" ht="13" x14ac:dyDescent="0.15">
      <c r="A94" s="19">
        <v>502</v>
      </c>
      <c r="B94" s="20" t="s">
        <v>144</v>
      </c>
      <c r="C94" s="21" t="s">
        <v>119</v>
      </c>
      <c r="D94" s="22">
        <v>15</v>
      </c>
      <c r="E94" s="22">
        <v>15</v>
      </c>
      <c r="F94" s="22">
        <v>15</v>
      </c>
      <c r="G94" s="22">
        <v>15</v>
      </c>
      <c r="H94" s="31">
        <f>SUM(D94:G94)</f>
        <v>60</v>
      </c>
      <c r="I94" s="22">
        <v>20</v>
      </c>
      <c r="J94" s="22">
        <v>13.33333333</v>
      </c>
      <c r="K94" s="22">
        <v>33.333333330000002</v>
      </c>
      <c r="L94" s="22">
        <v>113.33333330000001</v>
      </c>
      <c r="M94" s="32">
        <f>SUM(J94:L94)-I94</f>
        <v>139.99999996000003</v>
      </c>
      <c r="N94" s="22">
        <v>103</v>
      </c>
      <c r="O94" s="22">
        <v>113</v>
      </c>
      <c r="P94" s="33">
        <f>SUM(N94:O94)</f>
        <v>216</v>
      </c>
      <c r="Q94" s="22">
        <v>30000</v>
      </c>
      <c r="R94" s="22">
        <v>30403</v>
      </c>
      <c r="S94" s="22">
        <f>R94-Q94</f>
        <v>403</v>
      </c>
      <c r="T94" s="22">
        <f>S94/Q94</f>
        <v>1.3433333333333334E-2</v>
      </c>
      <c r="U94" s="34">
        <f>IF(AND(Q94 &lt;&gt; "", R94 &lt;&gt; ""), MAX(0, IF(Q94 &gt; 0, 350 - ((350 / (0.3 * Q94)) * ABS(Q94 - R94)), 0)), "")</f>
        <v>334.32777777777778</v>
      </c>
      <c r="V94" s="20" t="s">
        <v>45</v>
      </c>
      <c r="W94" s="22">
        <v>150</v>
      </c>
      <c r="X94" s="35">
        <f>IF(OR(U94 &lt;&gt; "", W94&lt;&gt; ""),U94  + W94, "0")</f>
        <v>484.32777777777778</v>
      </c>
      <c r="Y94" s="22"/>
      <c r="Z94" s="22">
        <v>50</v>
      </c>
      <c r="AA94" s="28">
        <f>Z94+Y94</f>
        <v>50</v>
      </c>
      <c r="AD94" s="29">
        <f>AB94+AC94</f>
        <v>0</v>
      </c>
      <c r="AE94" s="22">
        <f>MAX(0, H94+M94+P94+X94+AA94-AD94)</f>
        <v>950.32777773777775</v>
      </c>
      <c r="AF94" s="20">
        <v>1</v>
      </c>
      <c r="AG94" s="23">
        <v>11</v>
      </c>
      <c r="AH94" s="20">
        <v>30403</v>
      </c>
      <c r="AI94" s="20">
        <v>34258</v>
      </c>
      <c r="AJ94" s="24">
        <f t="shared" si="0"/>
        <v>3855</v>
      </c>
      <c r="AK94" s="25">
        <f t="shared" si="1"/>
        <v>0.11252846050557534</v>
      </c>
      <c r="AL94" s="26" t="str">
        <f ca="1">IFERROR(__xludf.DUMMYFUNCTION("IF(AG122 = 99999, 99999, IF(AND(AG122 &lt;&gt; """", AI122 &lt;&gt; """"), RANK(AI122, FILTER(AI:AI, AG:AG &lt;&gt; 99999), 1), """"))
"),"")</f>
        <v/>
      </c>
      <c r="AM94">
        <f t="shared" si="4"/>
        <v>1</v>
      </c>
      <c r="AN94">
        <f t="shared" si="5"/>
        <v>1</v>
      </c>
    </row>
    <row r="95" spans="1:40" ht="13" x14ac:dyDescent="0.15">
      <c r="A95" s="19">
        <v>901</v>
      </c>
      <c r="B95" s="20" t="s">
        <v>157</v>
      </c>
      <c r="C95" s="21" t="s">
        <v>119</v>
      </c>
      <c r="D95" s="22">
        <v>15</v>
      </c>
      <c r="E95" s="22">
        <v>15</v>
      </c>
      <c r="F95" s="22">
        <v>15</v>
      </c>
      <c r="G95" s="22">
        <v>15</v>
      </c>
      <c r="H95" s="31">
        <f>SUM(D95:G95)</f>
        <v>60</v>
      </c>
      <c r="I95" s="22">
        <v>25</v>
      </c>
      <c r="J95" s="22">
        <v>20</v>
      </c>
      <c r="K95" s="22">
        <v>35.333333330000002</v>
      </c>
      <c r="L95" s="22">
        <v>119.66666669999999</v>
      </c>
      <c r="M95" s="32">
        <f>SUM(J95:L95)-I95</f>
        <v>150.00000003</v>
      </c>
      <c r="N95" s="22">
        <v>97</v>
      </c>
      <c r="O95" s="22">
        <v>114</v>
      </c>
      <c r="P95" s="33">
        <f>SUM(N95:O95)</f>
        <v>211</v>
      </c>
      <c r="Q95" s="22">
        <v>30000</v>
      </c>
      <c r="R95" s="22">
        <v>14955</v>
      </c>
      <c r="S95" s="22">
        <f>R95-Q95</f>
        <v>-15045</v>
      </c>
      <c r="T95" s="22">
        <f>S95/Q95</f>
        <v>-0.50149999999999995</v>
      </c>
      <c r="U95" s="34">
        <f>IF(AND(Q95 &lt;&gt; "", R95 &lt;&gt; ""), MAX(0, IF(Q95 &gt; 0, 350 - ((350 / (0.3 * Q95)) * ABS(Q95 - R95)), 0)), "")</f>
        <v>0</v>
      </c>
      <c r="V95" s="20" t="s">
        <v>45</v>
      </c>
      <c r="W95" s="22">
        <v>150</v>
      </c>
      <c r="X95" s="35">
        <f>IF(OR(U95 &lt;&gt; "", W95&lt;&gt; ""),U95  + W95, "0")</f>
        <v>150</v>
      </c>
      <c r="Y95" s="22"/>
      <c r="Z95" s="22">
        <v>0</v>
      </c>
      <c r="AA95" s="28">
        <f>Z95+Y95</f>
        <v>0</v>
      </c>
      <c r="AB95" s="22">
        <v>100</v>
      </c>
      <c r="AC95" s="22"/>
      <c r="AD95" s="29">
        <f>AB95+AC95</f>
        <v>100</v>
      </c>
      <c r="AE95" s="22">
        <f>MAX(0, H95+M95+P95+X95+AA95-AD95)</f>
        <v>471.00000003000002</v>
      </c>
      <c r="AF95" s="20">
        <v>2</v>
      </c>
      <c r="AG95" s="23">
        <v>88</v>
      </c>
      <c r="AH95" s="20">
        <v>14955</v>
      </c>
      <c r="AI95" s="20">
        <v>37422</v>
      </c>
      <c r="AJ95" s="24">
        <f t="shared" si="0"/>
        <v>22467</v>
      </c>
      <c r="AK95" s="25">
        <f t="shared" si="1"/>
        <v>0.60036876703543374</v>
      </c>
      <c r="AL95" s="26">
        <f ca="1">IFERROR(__xludf.DUMMYFUNCTION("IF(AG123 = 99999, 99999, IF(AND(AG123 &lt;&gt; """", AI123 &lt;&gt; """"), RANK(AI123, FILTER(AI:AI, AG:AG &lt;&gt; 99999), 1), """"))
"),12)</f>
        <v>12</v>
      </c>
      <c r="AM95">
        <f t="shared" si="4"/>
        <v>1</v>
      </c>
      <c r="AN95">
        <f t="shared" si="5"/>
        <v>1</v>
      </c>
    </row>
    <row r="96" spans="1:40" ht="13" x14ac:dyDescent="0.15">
      <c r="A96" s="19">
        <v>800</v>
      </c>
      <c r="B96" s="20" t="s">
        <v>155</v>
      </c>
      <c r="C96" s="21" t="s">
        <v>156</v>
      </c>
      <c r="D96" s="22">
        <v>15</v>
      </c>
      <c r="E96" s="22">
        <v>15</v>
      </c>
      <c r="F96" s="22">
        <v>15</v>
      </c>
      <c r="G96" s="22">
        <v>15</v>
      </c>
      <c r="H96" s="31">
        <f>SUM(D96:G96)</f>
        <v>60</v>
      </c>
      <c r="I96" s="22">
        <v>5</v>
      </c>
      <c r="J96" s="22">
        <v>20</v>
      </c>
      <c r="K96" s="22">
        <v>33</v>
      </c>
      <c r="L96" s="22">
        <v>117.33333330000001</v>
      </c>
      <c r="M96" s="32">
        <f>SUM(J96:L96)-I96</f>
        <v>165.33333329999999</v>
      </c>
      <c r="N96" s="22">
        <v>112</v>
      </c>
      <c r="O96" s="22">
        <v>120</v>
      </c>
      <c r="P96" s="33">
        <f>SUM(N96:O96)</f>
        <v>232</v>
      </c>
      <c r="Q96" s="22">
        <v>30000</v>
      </c>
      <c r="R96" s="22">
        <v>25163</v>
      </c>
      <c r="S96" s="22">
        <f>R96-Q96</f>
        <v>-4837</v>
      </c>
      <c r="T96" s="22">
        <f>S96/Q96</f>
        <v>-0.16123333333333334</v>
      </c>
      <c r="U96" s="34">
        <f>IF(AND(Q96 &lt;&gt; "", R96 &lt;&gt; ""), MAX(0, IF(Q96 &gt; 0, 350 - ((350 / (0.3 * Q96)) * ABS(Q96 - R96)), 0)), "")</f>
        <v>161.89444444444445</v>
      </c>
      <c r="V96" s="20" t="s">
        <v>48</v>
      </c>
      <c r="W96" s="22"/>
      <c r="X96" s="35">
        <f>IF(OR(U96 &lt;&gt; "", W96&lt;&gt; ""),U96  + W96, "0")</f>
        <v>161.89444444444445</v>
      </c>
      <c r="Y96" s="22"/>
      <c r="Z96" s="22">
        <v>50</v>
      </c>
      <c r="AA96" s="28">
        <f>Z96+Y96</f>
        <v>50</v>
      </c>
      <c r="AD96" s="29">
        <f>AB96+AC96</f>
        <v>0</v>
      </c>
      <c r="AE96" s="22">
        <f>MAX(0, H96+M96+P96+X96+AA96-AD96)</f>
        <v>669.22777774444444</v>
      </c>
      <c r="AF96" s="20">
        <v>1</v>
      </c>
      <c r="AG96" s="23">
        <v>69</v>
      </c>
      <c r="AH96" s="20">
        <v>25163</v>
      </c>
      <c r="AI96" s="20">
        <v>31303</v>
      </c>
      <c r="AJ96" s="24">
        <f t="shared" si="0"/>
        <v>6140</v>
      </c>
      <c r="AK96" s="25">
        <f t="shared" si="1"/>
        <v>0.19614733412133023</v>
      </c>
      <c r="AL96" s="26">
        <f ca="1">IFERROR(__xludf.DUMMYFUNCTION("IF(AG125 = 99999, 99999, IF(AND(AG125 &lt;&gt; """", AI125 &lt;&gt; """"), RANK(AI125, FILTER(AI:AI, AG:AG &lt;&gt; 99999), 1), """"))
"),57)</f>
        <v>57</v>
      </c>
      <c r="AM96">
        <f t="shared" si="4"/>
        <v>0</v>
      </c>
      <c r="AN96">
        <f t="shared" si="5"/>
        <v>1</v>
      </c>
    </row>
    <row r="97" spans="1:40" ht="13" x14ac:dyDescent="0.15">
      <c r="A97" s="19">
        <v>410</v>
      </c>
      <c r="B97" s="20" t="s">
        <v>143</v>
      </c>
      <c r="C97" s="21" t="s">
        <v>137</v>
      </c>
      <c r="D97" s="22">
        <v>15</v>
      </c>
      <c r="E97" s="22">
        <v>15</v>
      </c>
      <c r="F97" s="22">
        <v>15</v>
      </c>
      <c r="G97" s="22">
        <v>15</v>
      </c>
      <c r="H97" s="31">
        <f>SUM(D97:G97)</f>
        <v>60</v>
      </c>
      <c r="I97" s="22">
        <v>0</v>
      </c>
      <c r="J97" s="22">
        <v>20</v>
      </c>
      <c r="K97" s="22">
        <v>38.5</v>
      </c>
      <c r="L97" s="22">
        <v>125.5</v>
      </c>
      <c r="M97" s="32">
        <f>SUM(J97:L97)-I97</f>
        <v>184</v>
      </c>
      <c r="N97" s="22">
        <v>114</v>
      </c>
      <c r="O97" s="22">
        <v>112</v>
      </c>
      <c r="P97" s="33">
        <f>SUM(N97:O97)</f>
        <v>226</v>
      </c>
      <c r="Q97" s="22">
        <v>30000</v>
      </c>
      <c r="R97" s="22">
        <v>31241</v>
      </c>
      <c r="S97" s="22">
        <f>R97-Q97</f>
        <v>1241</v>
      </c>
      <c r="T97" s="22">
        <f>S97/Q97</f>
        <v>4.136666666666667E-2</v>
      </c>
      <c r="U97" s="34">
        <f>IF(AND(Q97 &lt;&gt; "", R97 &lt;&gt; ""), MAX(0, IF(Q97 &gt; 0, 350 - ((350 / (0.3 * Q97)) * ABS(Q97 - R97)), 0)), "")</f>
        <v>301.73888888888888</v>
      </c>
      <c r="V97" s="20" t="s">
        <v>45</v>
      </c>
      <c r="W97" s="22">
        <v>150</v>
      </c>
      <c r="X97" s="35">
        <f>IF(OR(U97 &lt;&gt; "", W97&lt;&gt; ""),U97  + W97, "0")</f>
        <v>451.73888888888888</v>
      </c>
      <c r="Y97" s="22"/>
      <c r="Z97" s="22">
        <v>50</v>
      </c>
      <c r="AA97" s="28">
        <f>Z97+Y97</f>
        <v>50</v>
      </c>
      <c r="AD97" s="29">
        <f>AB97+AC97</f>
        <v>0</v>
      </c>
      <c r="AE97" s="22">
        <f>MAX(0, H97+M97+P97+X97+AA97-AD97)</f>
        <v>971.73888888888882</v>
      </c>
      <c r="AF97" s="20">
        <v>1</v>
      </c>
      <c r="AG97" s="23">
        <v>9</v>
      </c>
      <c r="AH97" s="20">
        <v>31241</v>
      </c>
      <c r="AI97" s="20">
        <v>31550</v>
      </c>
      <c r="AJ97" s="24">
        <f t="shared" si="0"/>
        <v>309</v>
      </c>
      <c r="AK97" s="25">
        <f t="shared" si="1"/>
        <v>9.7939778129952464E-3</v>
      </c>
      <c r="AL97" s="26">
        <f ca="1">IFERROR(__xludf.DUMMYFUNCTION("IF(AG126 = 99999, 99999, IF(AND(AG126 &lt;&gt; """", AI126 &lt;&gt; """"), RANK(AI126, FILTER(AI:AI, AG:AG &lt;&gt; 99999), 1), """"))
"),87)</f>
        <v>87</v>
      </c>
      <c r="AM97">
        <f t="shared" si="4"/>
        <v>1</v>
      </c>
      <c r="AN97">
        <f t="shared" si="5"/>
        <v>1</v>
      </c>
    </row>
    <row r="98" spans="1:40" ht="13" x14ac:dyDescent="0.15">
      <c r="A98" s="19">
        <v>407</v>
      </c>
      <c r="B98" s="20" t="s">
        <v>140</v>
      </c>
      <c r="C98" s="21" t="s">
        <v>137</v>
      </c>
      <c r="D98" s="22">
        <v>15</v>
      </c>
      <c r="E98" s="22">
        <v>15</v>
      </c>
      <c r="F98" s="22">
        <v>15</v>
      </c>
      <c r="G98" s="22">
        <v>15</v>
      </c>
      <c r="H98" s="31">
        <f>SUM(D98:G98)</f>
        <v>60</v>
      </c>
      <c r="I98" s="22">
        <v>5</v>
      </c>
      <c r="J98" s="22">
        <v>20</v>
      </c>
      <c r="K98" s="22">
        <v>24.333333329999999</v>
      </c>
      <c r="L98" s="22">
        <v>115.66666669999999</v>
      </c>
      <c r="M98" s="32">
        <f>SUM(J98:L98)-I98</f>
        <v>155.00000003</v>
      </c>
      <c r="N98" s="22">
        <v>82</v>
      </c>
      <c r="O98" s="22">
        <v>100</v>
      </c>
      <c r="P98" s="33">
        <f>SUM(N98:O98)</f>
        <v>182</v>
      </c>
      <c r="Q98" s="22">
        <v>30000</v>
      </c>
      <c r="R98" s="22">
        <v>31190</v>
      </c>
      <c r="S98" s="22">
        <f>R98-Q98</f>
        <v>1190</v>
      </c>
      <c r="T98" s="22">
        <f>S98/Q98</f>
        <v>3.966666666666667E-2</v>
      </c>
      <c r="U98" s="34">
        <f>IF(AND(Q98 &lt;&gt; "", R98 &lt;&gt; ""), MAX(0, IF(Q98 &gt; 0, 350 - ((350 / (0.3 * Q98)) * ABS(Q98 - R98)), 0)), "")</f>
        <v>303.72222222222223</v>
      </c>
      <c r="V98" s="20" t="s">
        <v>45</v>
      </c>
      <c r="W98" s="22">
        <v>150</v>
      </c>
      <c r="X98" s="35">
        <f>IF(OR(U98 &lt;&gt; "", W98&lt;&gt; ""),U98  + W98, "0")</f>
        <v>453.72222222222223</v>
      </c>
      <c r="Y98" s="22"/>
      <c r="Z98" s="22">
        <v>50</v>
      </c>
      <c r="AA98" s="28">
        <f>Z98+Y98</f>
        <v>50</v>
      </c>
      <c r="AD98" s="29">
        <f>AB98+AC98</f>
        <v>0</v>
      </c>
      <c r="AE98" s="22">
        <f>MAX(0, H98+M98+P98+X98+AA98-AD98)</f>
        <v>900.72222225222231</v>
      </c>
      <c r="AF98" s="20">
        <v>3</v>
      </c>
      <c r="AG98" s="23">
        <v>22</v>
      </c>
      <c r="AH98" s="20">
        <v>31190</v>
      </c>
      <c r="AI98" s="20">
        <v>31500</v>
      </c>
      <c r="AJ98" s="24">
        <f t="shared" si="0"/>
        <v>310</v>
      </c>
      <c r="AK98" s="25">
        <f t="shared" si="1"/>
        <v>9.8412698412698417E-3</v>
      </c>
      <c r="AL98" s="26">
        <f ca="1">IFERROR(__xludf.DUMMYFUNCTION("IF(AG127 = 99999, 99999, IF(AND(AG127 &lt;&gt; """", AI127 &lt;&gt; """"), RANK(AI127, FILTER(AI:AI, AG:AG &lt;&gt; 99999), 1), """"))
"),25)</f>
        <v>25</v>
      </c>
      <c r="AM98">
        <f t="shared" si="4"/>
        <v>1</v>
      </c>
      <c r="AN98">
        <f t="shared" si="5"/>
        <v>1</v>
      </c>
    </row>
    <row r="99" spans="1:40" ht="13" x14ac:dyDescent="0.15">
      <c r="A99" s="19">
        <v>406</v>
      </c>
      <c r="B99" s="20" t="s">
        <v>139</v>
      </c>
      <c r="C99" s="21" t="s">
        <v>137</v>
      </c>
      <c r="D99" s="22">
        <v>15</v>
      </c>
      <c r="E99" s="22">
        <v>15</v>
      </c>
      <c r="F99" s="22">
        <v>15</v>
      </c>
      <c r="G99" s="22">
        <v>15</v>
      </c>
      <c r="H99" s="31">
        <f>SUM(D99:G99)</f>
        <v>60</v>
      </c>
      <c r="I99" s="22">
        <v>40</v>
      </c>
      <c r="J99" s="22">
        <v>20</v>
      </c>
      <c r="K99" s="22">
        <v>36.666666669999998</v>
      </c>
      <c r="L99" s="22">
        <v>124</v>
      </c>
      <c r="M99" s="32">
        <f>SUM(J99:L99)-I99</f>
        <v>140.66666666999998</v>
      </c>
      <c r="N99" s="22">
        <v>110</v>
      </c>
      <c r="O99" s="22">
        <v>109</v>
      </c>
      <c r="P99" s="33">
        <f>SUM(N99:O99)</f>
        <v>219</v>
      </c>
      <c r="Q99" s="22">
        <v>30000</v>
      </c>
      <c r="R99" s="22">
        <v>26580</v>
      </c>
      <c r="S99" s="22">
        <f>R99-Q99</f>
        <v>-3420</v>
      </c>
      <c r="T99" s="22">
        <f>S99/Q99</f>
        <v>-0.114</v>
      </c>
      <c r="U99" s="34">
        <f>IF(AND(Q99 &lt;&gt; "", R99 &lt;&gt; ""), MAX(0, IF(Q99 &gt; 0, 350 - ((350 / (0.3 * Q99)) * ABS(Q99 - R99)), 0)), "")</f>
        <v>217</v>
      </c>
      <c r="V99" s="20" t="s">
        <v>45</v>
      </c>
      <c r="W99" s="22">
        <v>150</v>
      </c>
      <c r="X99" s="35">
        <f>IF(OR(U99 &lt;&gt; "", W99&lt;&gt; ""),U99  + W99, "0")</f>
        <v>367</v>
      </c>
      <c r="Y99" s="22">
        <v>30</v>
      </c>
      <c r="Z99" s="22">
        <v>50</v>
      </c>
      <c r="AA99" s="28">
        <f>Z99+Y99</f>
        <v>80</v>
      </c>
      <c r="AD99" s="29">
        <f>AB99+AC99</f>
        <v>0</v>
      </c>
      <c r="AE99" s="22">
        <f>MAX(0, H99+M99+P99+X99+AA99-AD99)</f>
        <v>866.66666667000004</v>
      </c>
      <c r="AF99" s="20">
        <v>4</v>
      </c>
      <c r="AG99" s="23">
        <v>33</v>
      </c>
      <c r="AH99" s="20">
        <v>26580</v>
      </c>
      <c r="AI99" s="20">
        <v>30826</v>
      </c>
      <c r="AJ99" s="24">
        <f t="shared" si="0"/>
        <v>4246</v>
      </c>
      <c r="AK99" s="25">
        <f t="shared" si="1"/>
        <v>0.13774086809835853</v>
      </c>
      <c r="AL99" s="26">
        <f ca="1">IFERROR(__xludf.DUMMYFUNCTION("IF(AG128 = 99999, 99999, IF(AND(AG128 &lt;&gt; """", AI128 &lt;&gt; """"), RANK(AI128, FILTER(AI:AI, AG:AG &lt;&gt; 99999), 1), """"))
"),11)</f>
        <v>11</v>
      </c>
      <c r="AM99">
        <f t="shared" si="4"/>
        <v>1</v>
      </c>
      <c r="AN99">
        <f t="shared" si="5"/>
        <v>1</v>
      </c>
    </row>
    <row r="100" spans="1:40" ht="13" x14ac:dyDescent="0.15">
      <c r="A100" s="19">
        <v>401</v>
      </c>
      <c r="B100" s="20" t="s">
        <v>138</v>
      </c>
      <c r="C100" s="21" t="s">
        <v>137</v>
      </c>
      <c r="D100" s="22">
        <v>15</v>
      </c>
      <c r="E100" s="22">
        <v>15</v>
      </c>
      <c r="F100" s="22">
        <v>15</v>
      </c>
      <c r="G100" s="22">
        <v>15</v>
      </c>
      <c r="H100" s="31">
        <f>SUM(D100:G100)</f>
        <v>60</v>
      </c>
      <c r="I100" s="22">
        <v>0</v>
      </c>
      <c r="J100" s="22">
        <v>20</v>
      </c>
      <c r="K100" s="22">
        <v>38.333333330000002</v>
      </c>
      <c r="L100" s="22">
        <v>133</v>
      </c>
      <c r="M100" s="32">
        <f>SUM(J100:L100)-I100</f>
        <v>191.33333333000002</v>
      </c>
      <c r="N100" s="22">
        <v>120</v>
      </c>
      <c r="O100" s="22">
        <v>108</v>
      </c>
      <c r="P100" s="33">
        <f>SUM(N100:O100)</f>
        <v>228</v>
      </c>
      <c r="Q100" s="22">
        <v>30000</v>
      </c>
      <c r="R100" s="22">
        <v>24191</v>
      </c>
      <c r="S100" s="22">
        <f>R100-Q100</f>
        <v>-5809</v>
      </c>
      <c r="T100" s="22">
        <f>S100/Q100</f>
        <v>-0.19363333333333332</v>
      </c>
      <c r="U100" s="34">
        <f>IF(AND(Q100 &lt;&gt; "", R100 &lt;&gt; ""), MAX(0, IF(Q100 &gt; 0, 350 - ((350 / (0.3 * Q100)) * ABS(Q100 - R100)), 0)), "")</f>
        <v>124.09444444444443</v>
      </c>
      <c r="V100" s="20" t="s">
        <v>45</v>
      </c>
      <c r="W100" s="22">
        <v>150</v>
      </c>
      <c r="X100" s="35">
        <f>IF(OR(U100 &lt;&gt; "", W100&lt;&gt; ""),U100  + W100, "0")</f>
        <v>274.09444444444443</v>
      </c>
      <c r="Y100" s="22">
        <v>120</v>
      </c>
      <c r="Z100" s="22">
        <v>50</v>
      </c>
      <c r="AA100" s="28">
        <f>Z100+Y100</f>
        <v>170</v>
      </c>
      <c r="AB100" s="22"/>
      <c r="AC100" s="22">
        <v>5</v>
      </c>
      <c r="AD100" s="29">
        <f>AB100+AC100</f>
        <v>5</v>
      </c>
      <c r="AE100" s="22">
        <f>MAX(0, H100+M100+P100+X100+AA100-AD100)</f>
        <v>918.42777777444439</v>
      </c>
      <c r="AF100" s="20">
        <v>2</v>
      </c>
      <c r="AG100" s="23">
        <v>16</v>
      </c>
      <c r="AH100" s="20">
        <v>24191</v>
      </c>
      <c r="AI100" s="20">
        <v>29401</v>
      </c>
      <c r="AJ100" s="24">
        <f t="shared" si="0"/>
        <v>5210</v>
      </c>
      <c r="AK100" s="25">
        <f t="shared" si="1"/>
        <v>0.17720485697765381</v>
      </c>
      <c r="AL100" s="26" t="str">
        <f ca="1">IFERROR(__xludf.DUMMYFUNCTION("IF(AG129 = 99999, 99999, IF(AND(AG129 &lt;&gt; """", AI129 &lt;&gt; """"), RANK(AI129, FILTER(AI:AI, AG:AG &lt;&gt; 99999), 1), """"))
"),"")</f>
        <v/>
      </c>
      <c r="AM100">
        <f t="shared" si="4"/>
        <v>1</v>
      </c>
      <c r="AN100">
        <f t="shared" si="5"/>
        <v>1</v>
      </c>
    </row>
    <row r="101" spans="1:40" ht="13" x14ac:dyDescent="0.15">
      <c r="A101" s="19">
        <v>408</v>
      </c>
      <c r="B101" s="20" t="s">
        <v>141</v>
      </c>
      <c r="C101" s="21" t="s">
        <v>137</v>
      </c>
      <c r="D101" s="22">
        <v>15</v>
      </c>
      <c r="E101" s="22">
        <v>0</v>
      </c>
      <c r="F101" s="22">
        <v>15</v>
      </c>
      <c r="G101" s="22">
        <v>15</v>
      </c>
      <c r="H101" s="31">
        <f>SUM(D101:G101)</f>
        <v>45</v>
      </c>
      <c r="I101" s="22">
        <v>40</v>
      </c>
      <c r="J101" s="22">
        <v>19</v>
      </c>
      <c r="K101" s="22">
        <v>36</v>
      </c>
      <c r="L101" s="22">
        <v>78</v>
      </c>
      <c r="M101" s="32">
        <f>SUM(J101:L101)-I101</f>
        <v>93</v>
      </c>
      <c r="N101" s="22">
        <v>113</v>
      </c>
      <c r="O101" s="22">
        <v>113</v>
      </c>
      <c r="P101" s="33">
        <f>SUM(N101:O101)</f>
        <v>226</v>
      </c>
      <c r="Q101" s="22">
        <v>30000</v>
      </c>
      <c r="R101" s="22">
        <v>19842</v>
      </c>
      <c r="S101" s="22">
        <f>R101-Q101</f>
        <v>-10158</v>
      </c>
      <c r="T101" s="22">
        <f>S101/Q101</f>
        <v>-0.33860000000000001</v>
      </c>
      <c r="U101" s="34">
        <f>IF(AND(Q101 &lt;&gt; "", R101 &lt;&gt; ""), MAX(0, IF(Q101 &gt; 0, 350 - ((350 / (0.3 * Q101)) * ABS(Q101 - R101)), 0)), "")</f>
        <v>0</v>
      </c>
      <c r="V101" s="20" t="s">
        <v>48</v>
      </c>
      <c r="W101" s="22"/>
      <c r="X101" s="35">
        <f>IF(OR(U101 &lt;&gt; "", W101&lt;&gt; ""),U101  + W101, "0")</f>
        <v>0</v>
      </c>
      <c r="Y101" s="22">
        <v>15</v>
      </c>
      <c r="Z101" s="22">
        <v>50</v>
      </c>
      <c r="AA101" s="28">
        <f>Z101+Y101</f>
        <v>65</v>
      </c>
      <c r="AD101" s="29">
        <f>AB101+AC101</f>
        <v>0</v>
      </c>
      <c r="AE101" s="22">
        <f>MAX(0, H101+M101+P101+X101+AA101-AD101)</f>
        <v>429</v>
      </c>
      <c r="AF101" s="20">
        <v>7</v>
      </c>
      <c r="AG101" s="23">
        <v>122</v>
      </c>
      <c r="AH101" s="20">
        <v>19842</v>
      </c>
      <c r="AI101" s="20">
        <v>27000</v>
      </c>
      <c r="AJ101" s="24">
        <f t="shared" si="0"/>
        <v>7158</v>
      </c>
      <c r="AK101" s="25">
        <f t="shared" si="1"/>
        <v>0.26511111111111113</v>
      </c>
      <c r="AL101" s="26">
        <f ca="1">IFERROR(__xludf.DUMMYFUNCTION("IF(AG130 = 99999, 99999, IF(AND(AG130 &lt;&gt; """", AI130 &lt;&gt; """"), RANK(AI130, FILTER(AI:AI, AG:AG &lt;&gt; 99999), 1), """"))
"),66)</f>
        <v>66</v>
      </c>
      <c r="AM101">
        <f t="shared" si="4"/>
        <v>0</v>
      </c>
      <c r="AN101">
        <f t="shared" si="5"/>
        <v>1</v>
      </c>
    </row>
    <row r="102" spans="1:40" ht="13" x14ac:dyDescent="0.15">
      <c r="A102" s="19">
        <v>400</v>
      </c>
      <c r="B102" s="20" t="s">
        <v>136</v>
      </c>
      <c r="C102" s="21" t="s">
        <v>137</v>
      </c>
      <c r="D102" s="22">
        <v>15</v>
      </c>
      <c r="E102" s="22">
        <v>15</v>
      </c>
      <c r="F102" s="22">
        <v>15</v>
      </c>
      <c r="G102" s="22">
        <v>15</v>
      </c>
      <c r="H102" s="31">
        <f>SUM(D102:G102)</f>
        <v>60</v>
      </c>
      <c r="I102" s="22">
        <v>5</v>
      </c>
      <c r="J102" s="22">
        <v>13.33333333</v>
      </c>
      <c r="K102" s="22">
        <v>32</v>
      </c>
      <c r="L102" s="22">
        <v>117</v>
      </c>
      <c r="M102" s="32">
        <f>SUM(J102:L102)-I102</f>
        <v>157.33333333000002</v>
      </c>
      <c r="N102" s="22">
        <v>120</v>
      </c>
      <c r="O102" s="22">
        <v>120</v>
      </c>
      <c r="P102" s="33">
        <f>SUM(N102:O102)</f>
        <v>240</v>
      </c>
      <c r="Q102" s="22">
        <v>30000</v>
      </c>
      <c r="R102" s="22">
        <v>7490</v>
      </c>
      <c r="S102" s="22">
        <f>R102-Q102</f>
        <v>-22510</v>
      </c>
      <c r="T102" s="22">
        <f>S102/Q102</f>
        <v>-0.7503333333333333</v>
      </c>
      <c r="U102" s="34">
        <f>IF(AND(Q102 &lt;&gt; "", R102 &lt;&gt; ""), MAX(0, IF(Q102 &gt; 0, 350 - ((350 / (0.3 * Q102)) * ABS(Q102 - R102)), 0)), "")</f>
        <v>0</v>
      </c>
      <c r="V102" s="20" t="s">
        <v>48</v>
      </c>
      <c r="W102" s="22"/>
      <c r="X102" s="35">
        <f>IF(OR(U102 &lt;&gt; "", W102&lt;&gt; ""),U102  + W102, "0")</f>
        <v>0</v>
      </c>
      <c r="Y102" s="22">
        <v>15</v>
      </c>
      <c r="Z102" s="22">
        <v>0</v>
      </c>
      <c r="AA102" s="28">
        <f>Z102+Y102</f>
        <v>15</v>
      </c>
      <c r="AD102" s="29">
        <f>AB102+AC102</f>
        <v>0</v>
      </c>
      <c r="AE102" s="22">
        <f>MAX(0, H102+M102+P102+X102+AA102-AD102)</f>
        <v>472.33333333000002</v>
      </c>
      <c r="AF102" s="20">
        <v>6</v>
      </c>
      <c r="AG102" s="23">
        <v>108</v>
      </c>
      <c r="AH102" s="20">
        <v>7490</v>
      </c>
      <c r="AI102" s="20">
        <v>30000</v>
      </c>
      <c r="AJ102" s="24">
        <f t="shared" si="0"/>
        <v>22510</v>
      </c>
      <c r="AK102" s="25">
        <f t="shared" si="1"/>
        <v>0.7503333333333333</v>
      </c>
      <c r="AL102" s="26">
        <f ca="1">IFERROR(__xludf.DUMMYFUNCTION("IF(AG131 = 99999, 99999, IF(AND(AG131 &lt;&gt; """", AI131 &lt;&gt; """"), RANK(AI131, FILTER(AI:AI, AG:AG &lt;&gt; 99999), 1), """"))
"),94)</f>
        <v>94</v>
      </c>
      <c r="AM102">
        <f t="shared" si="4"/>
        <v>0</v>
      </c>
      <c r="AN102">
        <f t="shared" si="5"/>
        <v>1</v>
      </c>
    </row>
    <row r="103" spans="1:40" ht="13" x14ac:dyDescent="0.15">
      <c r="A103" s="19">
        <v>603</v>
      </c>
      <c r="B103" s="20" t="s">
        <v>149</v>
      </c>
      <c r="C103" s="21" t="s">
        <v>146</v>
      </c>
      <c r="D103" s="22">
        <v>15</v>
      </c>
      <c r="E103" s="22">
        <v>15</v>
      </c>
      <c r="F103" s="22">
        <v>15</v>
      </c>
      <c r="G103" s="22">
        <v>0</v>
      </c>
      <c r="H103" s="31">
        <f>SUM(D103:G103)</f>
        <v>45</v>
      </c>
      <c r="I103" s="22">
        <v>0</v>
      </c>
      <c r="J103" s="22">
        <v>19</v>
      </c>
      <c r="K103" s="22">
        <v>32</v>
      </c>
      <c r="L103" s="22">
        <v>125</v>
      </c>
      <c r="M103" s="32">
        <f>SUM(J103:L103)-I103</f>
        <v>176</v>
      </c>
      <c r="N103" s="22">
        <v>102</v>
      </c>
      <c r="O103" s="22">
        <v>109</v>
      </c>
      <c r="P103" s="33">
        <f>SUM(N103:O103)</f>
        <v>211</v>
      </c>
      <c r="Q103" s="22">
        <v>45000</v>
      </c>
      <c r="R103" s="22">
        <v>35020</v>
      </c>
      <c r="S103" s="22">
        <f>R103-Q103</f>
        <v>-9980</v>
      </c>
      <c r="T103" s="22">
        <f>S103/Q103</f>
        <v>-0.22177777777777777</v>
      </c>
      <c r="U103" s="34">
        <f>IF(AND(Q103 &lt;&gt; "", R103 &lt;&gt; ""), MAX(0, IF(Q103 &gt; 0, 350 - ((350 / (0.3 * Q103)) * ABS(Q103 - R103)), 0)), "")</f>
        <v>91.259259259259295</v>
      </c>
      <c r="V103" s="20" t="s">
        <v>48</v>
      </c>
      <c r="W103" s="22"/>
      <c r="X103" s="35">
        <f>IF(OR(U103 &lt;&gt; "", W103&lt;&gt; ""),U103  + W103, "0")</f>
        <v>91.259259259259295</v>
      </c>
      <c r="Y103" s="22">
        <v>15</v>
      </c>
      <c r="Z103" s="22">
        <v>0</v>
      </c>
      <c r="AA103" s="28">
        <f>Z103+Y103</f>
        <v>15</v>
      </c>
      <c r="AD103" s="29">
        <f>AB103+AC103</f>
        <v>0</v>
      </c>
      <c r="AE103" s="22">
        <f>MAX(0, H103+M103+P103+X103+AA103-AD103)</f>
        <v>538.25925925925935</v>
      </c>
      <c r="AF103" s="20">
        <v>3</v>
      </c>
      <c r="AG103" s="23">
        <v>90</v>
      </c>
      <c r="AH103" s="20">
        <v>35020</v>
      </c>
      <c r="AI103" s="20">
        <v>43750</v>
      </c>
      <c r="AJ103" s="24">
        <f t="shared" si="0"/>
        <v>8730</v>
      </c>
      <c r="AK103" s="25">
        <f t="shared" si="1"/>
        <v>0.19954285714285713</v>
      </c>
      <c r="AL103" s="26">
        <f ca="1">IFERROR(__xludf.DUMMYFUNCTION("IF(AG132 = 99999, 99999, IF(AND(AG132 &lt;&gt; """", AI132 &lt;&gt; """"), RANK(AI132, FILTER(AI:AI, AG:AG &lt;&gt; 99999), 1), """"))
"),112)</f>
        <v>112</v>
      </c>
      <c r="AM103">
        <f t="shared" si="4"/>
        <v>0</v>
      </c>
      <c r="AN103">
        <f t="shared" si="5"/>
        <v>1</v>
      </c>
    </row>
    <row r="104" spans="1:40" ht="13" x14ac:dyDescent="0.15">
      <c r="A104" s="19">
        <v>600</v>
      </c>
      <c r="B104" s="20" t="s">
        <v>145</v>
      </c>
      <c r="C104" s="21" t="s">
        <v>146</v>
      </c>
      <c r="D104" s="22">
        <v>15</v>
      </c>
      <c r="E104" s="22">
        <v>15</v>
      </c>
      <c r="F104" s="22">
        <v>15</v>
      </c>
      <c r="G104" s="22">
        <v>15</v>
      </c>
      <c r="H104" s="31">
        <f>SUM(D104:G104)</f>
        <v>60</v>
      </c>
      <c r="I104" s="22">
        <v>5</v>
      </c>
      <c r="J104" s="22">
        <v>20</v>
      </c>
      <c r="K104" s="22">
        <v>37.666666669999998</v>
      </c>
      <c r="L104" s="22">
        <v>130.33333329999999</v>
      </c>
      <c r="M104" s="32">
        <f>SUM(J104:L104)-I104</f>
        <v>182.99999996999998</v>
      </c>
      <c r="N104" s="22">
        <v>95</v>
      </c>
      <c r="O104" s="22">
        <v>112</v>
      </c>
      <c r="P104" s="33">
        <f>SUM(N104:O104)</f>
        <v>207</v>
      </c>
      <c r="Q104" s="22">
        <v>45000</v>
      </c>
      <c r="R104" s="22">
        <v>34721</v>
      </c>
      <c r="S104" s="22">
        <f>R104-Q104</f>
        <v>-10279</v>
      </c>
      <c r="T104" s="22">
        <f>S104/Q104</f>
        <v>-0.22842222222222222</v>
      </c>
      <c r="U104" s="34">
        <f>IF(AND(Q104 &lt;&gt; "", R104 &lt;&gt; ""), MAX(0, IF(Q104 &gt; 0, 350 - ((350 / (0.3 * Q104)) * ABS(Q104 - R104)), 0)), "")</f>
        <v>83.507407407407413</v>
      </c>
      <c r="V104" s="20" t="s">
        <v>47</v>
      </c>
      <c r="W104" s="22">
        <v>150</v>
      </c>
      <c r="X104" s="35">
        <f>IF(OR(U104 &lt;&gt; "", W104&lt;&gt; ""),U104  + W104, "0")</f>
        <v>233.50740740740741</v>
      </c>
      <c r="Y104" s="22">
        <v>30</v>
      </c>
      <c r="Z104" s="22">
        <v>0</v>
      </c>
      <c r="AA104" s="28">
        <f>Z104+Y104</f>
        <v>30</v>
      </c>
      <c r="AD104" s="29">
        <f>AB104+AC104</f>
        <v>0</v>
      </c>
      <c r="AE104" s="22">
        <f>MAX(0, H104+M104+P104+X104+AA104-AD104)</f>
        <v>713.50740737740739</v>
      </c>
      <c r="AF104" s="20">
        <v>2</v>
      </c>
      <c r="AG104" s="23">
        <v>61</v>
      </c>
      <c r="AH104" s="20">
        <v>34721</v>
      </c>
      <c r="AI104" s="20">
        <v>41250</v>
      </c>
      <c r="AJ104" s="24">
        <f t="shared" si="0"/>
        <v>6529</v>
      </c>
      <c r="AK104" s="25">
        <f t="shared" si="1"/>
        <v>0.15827878787878788</v>
      </c>
      <c r="AL104" s="26">
        <f ca="1">IFERROR(__xludf.DUMMYFUNCTION("IF(AG133 = 99999, 99999, IF(AND(AG133 &lt;&gt; """", AI133 &lt;&gt; """"), RANK(AI133, FILTER(AI:AI, AG:AG &lt;&gt; 99999), 1), """"))
"),113)</f>
        <v>113</v>
      </c>
      <c r="AM104">
        <f t="shared" si="4"/>
        <v>1</v>
      </c>
      <c r="AN104">
        <f t="shared" si="5"/>
        <v>1</v>
      </c>
    </row>
    <row r="105" spans="1:40" ht="13" x14ac:dyDescent="0.15">
      <c r="A105" s="19">
        <v>602</v>
      </c>
      <c r="B105" s="20" t="s">
        <v>148</v>
      </c>
      <c r="C105" s="21" t="s">
        <v>146</v>
      </c>
      <c r="D105" s="22">
        <v>15</v>
      </c>
      <c r="E105" s="22">
        <v>15</v>
      </c>
      <c r="F105" s="22">
        <v>15</v>
      </c>
      <c r="G105" s="22">
        <v>15</v>
      </c>
      <c r="H105" s="31">
        <f>SUM(D105:G105)</f>
        <v>60</v>
      </c>
      <c r="I105" s="22">
        <v>30</v>
      </c>
      <c r="J105" s="22">
        <v>19.333333329999999</v>
      </c>
      <c r="K105" s="22">
        <v>30.333333329999999</v>
      </c>
      <c r="L105" s="22">
        <v>119</v>
      </c>
      <c r="M105" s="32">
        <f>SUM(J105:L105)-I105</f>
        <v>138.66666666</v>
      </c>
      <c r="N105" s="22">
        <v>118</v>
      </c>
      <c r="O105" s="22">
        <v>111</v>
      </c>
      <c r="P105" s="33">
        <f>SUM(N105:O105)</f>
        <v>229</v>
      </c>
      <c r="Q105" s="22">
        <v>45000</v>
      </c>
      <c r="R105" s="22">
        <v>34241</v>
      </c>
      <c r="S105" s="22">
        <f>R105-Q105</f>
        <v>-10759</v>
      </c>
      <c r="T105" s="22">
        <f>S105/Q105</f>
        <v>-0.23908888888888888</v>
      </c>
      <c r="U105" s="34">
        <f>IF(AND(Q105 &lt;&gt; "", R105 &lt;&gt; ""), MAX(0, IF(Q105 &gt; 0, 350 - ((350 / (0.3 * Q105)) * ABS(Q105 - R105)), 0)), "")</f>
        <v>71.062962962962956</v>
      </c>
      <c r="V105" s="20" t="s">
        <v>47</v>
      </c>
      <c r="W105" s="22">
        <v>150</v>
      </c>
      <c r="X105" s="35">
        <f>IF(OR(U105 &lt;&gt; "", W105&lt;&gt; ""),U105  + W105, "0")</f>
        <v>221.06296296296296</v>
      </c>
      <c r="Y105" s="22">
        <v>45</v>
      </c>
      <c r="Z105" s="22">
        <v>50</v>
      </c>
      <c r="AA105" s="28">
        <f>Z105+Y105</f>
        <v>95</v>
      </c>
      <c r="AD105" s="29">
        <f>AB105+AC105</f>
        <v>0</v>
      </c>
      <c r="AE105" s="22">
        <f>MAX(0, H105+M105+P105+X105+AA105-AD105)</f>
        <v>743.72962962296299</v>
      </c>
      <c r="AF105" s="20">
        <v>1</v>
      </c>
      <c r="AG105" s="23">
        <v>55</v>
      </c>
      <c r="AH105" s="20">
        <v>34241</v>
      </c>
      <c r="AI105" s="20">
        <v>42487</v>
      </c>
      <c r="AJ105" s="24">
        <f t="shared" si="0"/>
        <v>8246</v>
      </c>
      <c r="AK105" s="25">
        <f t="shared" si="1"/>
        <v>0.1940828959446419</v>
      </c>
      <c r="AL105" s="26">
        <f ca="1">IFERROR(__xludf.DUMMYFUNCTION("IF(AG134 = 99999, 99999, IF(AND(AG134 &lt;&gt; """", AI134 &lt;&gt; """"), RANK(AI134, FILTER(AI:AI, AG:AG &lt;&gt; 99999), 1), """"))
"),65)</f>
        <v>65</v>
      </c>
      <c r="AM105">
        <f t="shared" si="4"/>
        <v>1</v>
      </c>
      <c r="AN105">
        <f t="shared" si="5"/>
        <v>1</v>
      </c>
    </row>
    <row r="106" spans="1:40" ht="13" x14ac:dyDescent="0.15">
      <c r="A106" s="19">
        <v>601</v>
      </c>
      <c r="B106" s="20" t="s">
        <v>147</v>
      </c>
      <c r="C106" s="21" t="s">
        <v>146</v>
      </c>
      <c r="D106" s="22">
        <v>15</v>
      </c>
      <c r="E106" s="22">
        <v>15</v>
      </c>
      <c r="F106" s="22">
        <v>15</v>
      </c>
      <c r="G106" s="22">
        <v>15</v>
      </c>
      <c r="H106" s="31">
        <f>SUM(D106:G106)</f>
        <v>60</v>
      </c>
      <c r="I106" s="22">
        <v>5</v>
      </c>
      <c r="J106" s="22">
        <v>20</v>
      </c>
      <c r="K106" s="22">
        <v>34.666666669999998</v>
      </c>
      <c r="L106" s="22">
        <v>130.66666670000001</v>
      </c>
      <c r="M106" s="32">
        <f>SUM(J106:L106)-I106</f>
        <v>180.33333336999999</v>
      </c>
      <c r="N106" s="22">
        <v>83</v>
      </c>
      <c r="O106" s="22">
        <v>101</v>
      </c>
      <c r="P106" s="33">
        <f>SUM(N106:O106)</f>
        <v>184</v>
      </c>
      <c r="Q106" s="22">
        <v>45000</v>
      </c>
      <c r="R106" s="22">
        <v>8202</v>
      </c>
      <c r="S106" s="22">
        <f>R106-Q106</f>
        <v>-36798</v>
      </c>
      <c r="T106" s="22">
        <f>S106/Q106</f>
        <v>-0.81773333333333331</v>
      </c>
      <c r="U106" s="34">
        <f>IF(AND(Q106 &lt;&gt; "", R106 &lt;&gt; ""), MAX(0, IF(Q106 &gt; 0, 350 - ((350 / (0.3 * Q106)) * ABS(Q106 - R106)), 0)), "")</f>
        <v>0</v>
      </c>
      <c r="V106" s="20" t="s">
        <v>48</v>
      </c>
      <c r="W106" s="22"/>
      <c r="X106" s="35">
        <f>IF(OR(U106 &lt;&gt; "", W106&lt;&gt; ""),U106  + W106, "0")</f>
        <v>0</v>
      </c>
      <c r="Y106" s="22">
        <v>30</v>
      </c>
      <c r="Z106" s="22">
        <v>50</v>
      </c>
      <c r="AA106" s="28">
        <f>Z106+Y106</f>
        <v>80</v>
      </c>
      <c r="AB106" s="22"/>
      <c r="AC106" s="22">
        <v>20</v>
      </c>
      <c r="AD106" s="29">
        <f>AB106+AC106</f>
        <v>20</v>
      </c>
      <c r="AE106" s="22">
        <f>MAX(0, H106+M106+P106+X106+AA106-AD106)</f>
        <v>484.33333336999999</v>
      </c>
      <c r="AF106" s="20">
        <v>4</v>
      </c>
      <c r="AG106" s="23">
        <v>101</v>
      </c>
      <c r="AH106" s="20">
        <v>8202</v>
      </c>
      <c r="AI106" s="20">
        <v>44410</v>
      </c>
      <c r="AJ106" s="24">
        <f t="shared" si="0"/>
        <v>36208</v>
      </c>
      <c r="AK106" s="25">
        <f t="shared" si="1"/>
        <v>0.81531186669668998</v>
      </c>
      <c r="AL106" s="26">
        <f ca="1">IFERROR(__xludf.DUMMYFUNCTION("IF(AG135 = 99999, 99999, IF(AND(AG135 &lt;&gt; """", AI135 &lt;&gt; """"), RANK(AI135, FILTER(AI:AI, AG:AG &lt;&gt; 99999), 1), """"))
"),100)</f>
        <v>100</v>
      </c>
      <c r="AM106">
        <f t="shared" si="4"/>
        <v>0</v>
      </c>
      <c r="AN106">
        <f t="shared" si="5"/>
        <v>1</v>
      </c>
    </row>
    <row r="107" spans="1:40" ht="13" x14ac:dyDescent="0.15">
      <c r="AK107" s="27"/>
    </row>
    <row r="108" spans="1:40" ht="13" x14ac:dyDescent="0.15">
      <c r="AK108" s="27"/>
    </row>
    <row r="109" spans="1:40" ht="13" x14ac:dyDescent="0.15">
      <c r="AK109" s="27"/>
    </row>
    <row r="110" spans="1:40" ht="13" x14ac:dyDescent="0.15">
      <c r="T110" s="30">
        <f>_xlfn.STDEV.P(T3:T105)</f>
        <v>0.22022264702980213</v>
      </c>
      <c r="AK110" s="27"/>
    </row>
    <row r="111" spans="1:40" ht="13" x14ac:dyDescent="0.15">
      <c r="AK111" s="27"/>
    </row>
    <row r="112" spans="1:40" ht="13" x14ac:dyDescent="0.15">
      <c r="AK112" s="27"/>
    </row>
    <row r="113" spans="19:37" ht="13" x14ac:dyDescent="0.15">
      <c r="AK113" s="27"/>
    </row>
    <row r="114" spans="19:37" ht="13" x14ac:dyDescent="0.15">
      <c r="S114" s="44" t="s">
        <v>160</v>
      </c>
      <c r="AK114" s="27"/>
    </row>
    <row r="115" spans="19:37" ht="13" x14ac:dyDescent="0.15">
      <c r="AK115" s="27"/>
    </row>
    <row r="116" spans="19:37" ht="13" x14ac:dyDescent="0.15">
      <c r="AK116" s="27"/>
    </row>
    <row r="117" spans="19:37" ht="13" x14ac:dyDescent="0.15">
      <c r="AK117" s="27"/>
    </row>
    <row r="118" spans="19:37" ht="13" x14ac:dyDescent="0.15">
      <c r="AK118" s="27"/>
    </row>
    <row r="119" spans="19:37" ht="13" x14ac:dyDescent="0.15">
      <c r="AK119" s="27"/>
    </row>
    <row r="120" spans="19:37" ht="13" x14ac:dyDescent="0.15">
      <c r="AK120" s="27"/>
    </row>
    <row r="121" spans="19:37" ht="13" x14ac:dyDescent="0.15">
      <c r="AK121" s="27"/>
    </row>
    <row r="122" spans="19:37" ht="13" x14ac:dyDescent="0.15">
      <c r="AK122" s="27"/>
    </row>
    <row r="123" spans="19:37" ht="13" x14ac:dyDescent="0.15">
      <c r="AK123" s="27"/>
    </row>
    <row r="124" spans="19:37" ht="13" x14ac:dyDescent="0.15">
      <c r="AK124" s="27"/>
    </row>
    <row r="125" spans="19:37" ht="13" x14ac:dyDescent="0.15">
      <c r="AK125" s="27"/>
    </row>
    <row r="126" spans="19:37" ht="13" x14ac:dyDescent="0.15">
      <c r="AK126" s="27"/>
    </row>
    <row r="127" spans="19:37" ht="13" x14ac:dyDescent="0.15">
      <c r="AK127" s="27"/>
    </row>
    <row r="128" spans="19:37" ht="13" x14ac:dyDescent="0.15">
      <c r="AK128" s="27"/>
    </row>
    <row r="129" spans="37:37" ht="13" x14ac:dyDescent="0.15">
      <c r="AK129" s="27"/>
    </row>
    <row r="130" spans="37:37" ht="13" x14ac:dyDescent="0.15">
      <c r="AK130" s="27"/>
    </row>
    <row r="131" spans="37:37" ht="13" x14ac:dyDescent="0.15">
      <c r="AK131" s="27"/>
    </row>
    <row r="132" spans="37:37" ht="13" x14ac:dyDescent="0.15">
      <c r="AK132" s="27"/>
    </row>
    <row r="133" spans="37:37" ht="13" x14ac:dyDescent="0.15">
      <c r="AK133" s="27"/>
    </row>
    <row r="134" spans="37:37" ht="13" x14ac:dyDescent="0.15">
      <c r="AK134" s="27"/>
    </row>
    <row r="135" spans="37:37" ht="13" x14ac:dyDescent="0.15">
      <c r="AK135" s="27"/>
    </row>
    <row r="136" spans="37:37" ht="13" x14ac:dyDescent="0.15">
      <c r="AK136" s="27"/>
    </row>
    <row r="137" spans="37:37" ht="13" x14ac:dyDescent="0.15">
      <c r="AK137" s="27"/>
    </row>
    <row r="138" spans="37:37" ht="13" x14ac:dyDescent="0.15">
      <c r="AK138" s="27"/>
    </row>
    <row r="139" spans="37:37" ht="13" x14ac:dyDescent="0.15">
      <c r="AK139" s="27"/>
    </row>
    <row r="140" spans="37:37" ht="13" x14ac:dyDescent="0.15">
      <c r="AK140" s="27"/>
    </row>
    <row r="141" spans="37:37" ht="13" x14ac:dyDescent="0.15">
      <c r="AK141" s="27"/>
    </row>
    <row r="142" spans="37:37" ht="13" x14ac:dyDescent="0.15">
      <c r="AK142" s="27"/>
    </row>
    <row r="143" spans="37:37" ht="13" x14ac:dyDescent="0.15">
      <c r="AK143" s="27"/>
    </row>
    <row r="144" spans="37:37" ht="13" x14ac:dyDescent="0.15">
      <c r="AK144" s="27"/>
    </row>
    <row r="145" spans="37:37" ht="13" x14ac:dyDescent="0.15">
      <c r="AK145" s="27"/>
    </row>
    <row r="146" spans="37:37" ht="13" x14ac:dyDescent="0.15">
      <c r="AK146" s="27"/>
    </row>
    <row r="147" spans="37:37" ht="13" x14ac:dyDescent="0.15">
      <c r="AK147" s="27"/>
    </row>
  </sheetData>
  <autoFilter ref="A2:AI106" xr:uid="{00000000-0001-0000-0000-000000000000}">
    <sortState xmlns:xlrd2="http://schemas.microsoft.com/office/spreadsheetml/2017/richdata2" ref="A3:AI106">
      <sortCondition ref="C2:C106"/>
    </sortState>
  </autoFilter>
  <mergeCells count="8">
    <mergeCell ref="Y1:AD1"/>
    <mergeCell ref="AE1:AG1"/>
    <mergeCell ref="AH1:AL1"/>
    <mergeCell ref="B1:C1"/>
    <mergeCell ref="D1:H1"/>
    <mergeCell ref="I1:M1"/>
    <mergeCell ref="N1:P1"/>
    <mergeCell ref="Q1:X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Berger</dc:creator>
  <cp:lastModifiedBy>Lawton Michael Skaling</cp:lastModifiedBy>
  <dcterms:created xsi:type="dcterms:W3CDTF">2025-08-02T15:30:08Z</dcterms:created>
  <dcterms:modified xsi:type="dcterms:W3CDTF">2025-09-23T07:31:29Z</dcterms:modified>
</cp:coreProperties>
</file>