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ARNA" sheetId="2" state="visible" r:id="rId3"/>
    <sheet name="AKSI" sheetId="3" state="visible" r:id="rId4"/>
    <sheet name="ARII" sheetId="4" state="visible" r:id="rId5"/>
    <sheet name="EKAD" sheetId="5" state="visible" r:id="rId6"/>
    <sheet name="INDR" sheetId="6" state="visible" r:id="rId7"/>
    <sheet name="ITMA" sheetId="7" state="visible" r:id="rId8"/>
    <sheet name="KDSI" sheetId="8" state="visible" r:id="rId9"/>
    <sheet name="POLY" sheetId="9" state="visible" r:id="rId10"/>
    <sheet name="ULTJ" sheetId="10" state="visible" r:id="rId11"/>
    <sheet name="PBID" sheetId="11" state="visible" r:id="rId12"/>
    <sheet name="HEXA" sheetId="12" state="visible" r:id="rId13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<sst xmlns="http://schemas.openxmlformats.org/spreadsheetml/2006/main" count="356" uniqueCount="28">
  <si>
    <t xml:space="preserve">code</t>
  </si>
  <si>
    <t xml:space="preserve">AKSI</t>
  </si>
  <si>
    <t xml:space="preserve">ARII</t>
  </si>
  <si>
    <t xml:space="preserve">year</t>
  </si>
  <si>
    <t xml:space="preserve">Cash</t>
  </si>
  <si>
    <t xml:space="preserve">Receivables</t>
  </si>
  <si>
    <t xml:space="preserve">Inventories</t>
  </si>
  <si>
    <t xml:space="preserve">Fixed Asset</t>
  </si>
  <si>
    <t xml:space="preserve">ST Liabilities</t>
  </si>
  <si>
    <t xml:space="preserve">LT Liabilites</t>
  </si>
  <si>
    <t xml:space="preserve">Share outstanding</t>
  </si>
  <si>
    <t xml:space="preserve">Revenue</t>
  </si>
  <si>
    <t xml:space="preserve">Gross profit</t>
  </si>
  <si>
    <t xml:space="preserve">Operating Profit</t>
  </si>
  <si>
    <t xml:space="preserve">Net Profit</t>
  </si>
  <si>
    <t xml:space="preserve">Customer Cashflow</t>
  </si>
  <si>
    <t xml:space="preserve">Operating Cashflow</t>
  </si>
  <si>
    <t xml:space="preserve">Investing Cash flow</t>
  </si>
  <si>
    <t xml:space="preserve">Financing Cashflow</t>
  </si>
  <si>
    <t xml:space="preserve">ARNA</t>
  </si>
  <si>
    <t xml:space="preserve">EKAD</t>
  </si>
  <si>
    <t xml:space="preserve">INDR</t>
  </si>
  <si>
    <t xml:space="preserve">ITMA</t>
  </si>
  <si>
    <t xml:space="preserve">KDSI</t>
  </si>
  <si>
    <t xml:space="preserve">POLY</t>
  </si>
  <si>
    <t xml:space="preserve">ULTJ</t>
  </si>
  <si>
    <t xml:space="preserve">PBID</t>
  </si>
  <si>
    <t xml:space="preserve">HEXA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</si>
</sst>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[$Rp]#,##0"/>
    <numFmt numFmtId="166" formatCode="General"/>
    <numFmt numFmtId="167" formatCode="_(* #,##0_);_(* \(#,##0\);_(* \-_);_(@_)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sz val="12"/>
      <color rgb="FF000000"/>
      <name val="Calibri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5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dxfs count="11">
    <dxf>
      <font>
        <color rgb="FFFF0000"/>
      </font>
      <fill>
        <patternFill>
          <bgColor rgb="FFB7E1CD"/>
        </patternFill>
      </fill>
    </dxf>
    <dxf>
      <font>
        <color rgb="FFFF0000"/>
      </font>
      <fill>
        <patternFill>
          <bgColor rgb="FFB7E1CD"/>
        </patternFill>
      </fill>
    </dxf>
    <dxf>
      <font>
        <color rgb="FFFF0000"/>
      </font>
      <fill>
        <patternFill>
          <bgColor rgb="FFB7E1CD"/>
        </patternFill>
      </fill>
    </dxf>
    <dxf>
      <font>
        <color rgb="FFFF0000"/>
      </font>
      <fill>
        <patternFill>
          <bgColor rgb="FFB7E1CD"/>
        </patternFill>
      </fill>
    </dxf>
    <dxf>
      <font>
        <color rgb="FFFF0000"/>
      </font>
      <fill>
        <patternFill>
          <bgColor rgb="FFB7E1CD"/>
        </patternFill>
      </fill>
    </dxf>
    <dxf>
      <font>
        <color rgb="FFFF0000"/>
      </font>
      <fill>
        <patternFill>
          <bgColor rgb="FFB7E1CD"/>
        </patternFill>
      </fill>
    </dxf>
    <dxf>
      <font>
        <color rgb="FFFF0000"/>
      </font>
      <fill>
        <patternFill>
          <bgColor rgb="FFB7E1CD"/>
        </patternFill>
      </fill>
    </dxf>
    <dxf>
      <font>
        <color rgb="FFFF0000"/>
      </font>
      <fill>
        <patternFill>
          <bgColor rgb="FFB7E1CD"/>
        </patternFill>
      </fill>
    </dxf>
    <dxf>
      <font>
        <color rgb="FFFF0000"/>
      </font>
      <fill>
        <patternFill>
          <bgColor rgb="FFB7E1CD"/>
        </patternFill>
      </fill>
    </dxf>
    <dxf>
      <font>
        <color rgb="FFFF0000"/>
      </font>
      <fill>
        <patternFill>
          <bgColor rgb="FFB7E1CD"/>
        </patternFill>
      </fill>
    </dxf>
    <dxf>
      <font>
        <color rgb="FFFF0000"/>
      </font>
      <fill>
        <patternFill>
          <bgColor rgb="FFB7E1CD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5" activeCellId="0" sqref="F5"/>
    </sheetView>
  </sheetViews>
  <sheetFormatPr defaultColWidth="11.55078125" defaultRowHeight="12.8" zeroHeight="false" outlineLevelRow="0" outlineLevelCol="0"/>
  <sheetData>
    <row r="1" customFormat="false" ht="15.65" hidden="false" customHeight="false" outlineLevel="0" collapsed="false">
      <c r="A1" s="1" t="s">
        <v>0</v>
      </c>
      <c r="B1" s="2" t="s">
        <v>1</v>
      </c>
      <c r="C1" s="2" t="s">
        <v>1</v>
      </c>
      <c r="D1" s="2" t="s">
        <v>1</v>
      </c>
      <c r="E1" s="2" t="s">
        <v>1</v>
      </c>
      <c r="F1" s="2" t="s">
        <v>1</v>
      </c>
      <c r="G1" s="2" t="s">
        <v>2</v>
      </c>
      <c r="H1" s="2" t="s">
        <v>2</v>
      </c>
      <c r="I1" s="2" t="s">
        <v>2</v>
      </c>
      <c r="J1" s="2" t="s">
        <v>2</v>
      </c>
      <c r="K1" s="2" t="s">
        <v>2</v>
      </c>
    </row>
    <row r="2" customFormat="false" ht="15.65" hidden="false" customHeight="false" outlineLevel="0" collapsed="false">
      <c r="A2" s="1" t="s">
        <v>3</v>
      </c>
      <c r="B2" s="2" t="n">
        <v>2022</v>
      </c>
      <c r="C2" s="2" t="n">
        <v>2021</v>
      </c>
      <c r="D2" s="2" t="n">
        <v>2020</v>
      </c>
      <c r="E2" s="2" t="n">
        <v>2019</v>
      </c>
      <c r="F2" s="2" t="n">
        <v>2018</v>
      </c>
      <c r="G2" s="2" t="n">
        <v>2022</v>
      </c>
      <c r="H2" s="2" t="n">
        <v>2021</v>
      </c>
      <c r="I2" s="2" t="n">
        <v>2020</v>
      </c>
      <c r="J2" s="2" t="n">
        <v>2019</v>
      </c>
      <c r="K2" s="2" t="n">
        <v>2018</v>
      </c>
    </row>
    <row r="3" customFormat="false" ht="15.65" hidden="false" customHeight="false" outlineLevel="0" collapsed="false">
      <c r="A3" s="3" t="s">
        <v>4</v>
      </c>
      <c r="B3" s="2" t="n">
        <v>113772585629</v>
      </c>
      <c r="C3" s="4" t="n">
        <v>87666978826</v>
      </c>
      <c r="D3" s="2" t="n">
        <v>69209954230</v>
      </c>
      <c r="E3" s="2" t="n">
        <v>48013824335</v>
      </c>
      <c r="F3" s="5" t="n">
        <v>50114289116</v>
      </c>
      <c r="G3" s="2" t="n">
        <f aca="false">12843*14000</f>
        <v>179802000</v>
      </c>
      <c r="H3" s="4" t="n">
        <f aca="false">2163*14000</f>
        <v>30282000</v>
      </c>
      <c r="I3" s="2" t="n">
        <f aca="false">506*14000</f>
        <v>7084000</v>
      </c>
      <c r="J3" s="2" t="n">
        <f aca="false">1356*14000</f>
        <v>18984000</v>
      </c>
      <c r="K3" s="6" t="n">
        <f aca="false">1550*14000</f>
        <v>21700000</v>
      </c>
    </row>
    <row r="4" customFormat="false" ht="15.65" hidden="false" customHeight="false" outlineLevel="0" collapsed="false">
      <c r="A4" s="3" t="s">
        <v>5</v>
      </c>
      <c r="B4" s="7" t="n">
        <v>93128937118</v>
      </c>
      <c r="C4" s="2" t="n">
        <f aca="false">28263459753+30921202245+189815822</f>
        <v>59374477820</v>
      </c>
      <c r="D4" s="2" t="n">
        <f aca="false">43431437353+50831059375+281434730</f>
        <v>94543931458</v>
      </c>
      <c r="E4" s="2" t="n">
        <f aca="false">39472413580+60498269776+154121342</f>
        <v>100124804698</v>
      </c>
      <c r="F4" s="5" t="n">
        <f aca="false">6964826538+30955516180+4594423586</f>
        <v>42514766304</v>
      </c>
      <c r="G4" s="7" t="n">
        <f aca="false">(28459+8083+22810)*14000</f>
        <v>830928000</v>
      </c>
      <c r="H4" s="2" t="n">
        <f aca="false">(17535+453+23533)*14000</f>
        <v>581294000</v>
      </c>
      <c r="I4" s="2" t="n">
        <f aca="false">(3076+7383+18158)*14000</f>
        <v>400638000</v>
      </c>
      <c r="J4" s="2" t="n">
        <f aca="false">(11084+19098)*14000</f>
        <v>422548000</v>
      </c>
      <c r="K4" s="6" t="n">
        <f aca="false">(10923+21849)*14000</f>
        <v>458808000</v>
      </c>
    </row>
    <row r="5" customFormat="false" ht="15.65" hidden="false" customHeight="false" outlineLevel="0" collapsed="false">
      <c r="A5" s="3" t="s">
        <v>6</v>
      </c>
      <c r="B5" s="2" t="n">
        <v>0</v>
      </c>
      <c r="C5" s="2" t="n">
        <v>0</v>
      </c>
      <c r="D5" s="2" t="n">
        <v>0</v>
      </c>
      <c r="E5" s="2" t="n">
        <v>0</v>
      </c>
      <c r="F5" s="2" t="n">
        <v>0</v>
      </c>
      <c r="G5" s="2" t="n">
        <f aca="false">10161*14000</f>
        <v>142254000</v>
      </c>
      <c r="H5" s="2" t="n">
        <f aca="false">6958*14000</f>
        <v>97412000</v>
      </c>
      <c r="I5" s="2" t="n">
        <f aca="false">4776*14000</f>
        <v>66864000</v>
      </c>
      <c r="J5" s="2" t="n">
        <f aca="false">6675*14000</f>
        <v>93450000</v>
      </c>
      <c r="K5" s="6" t="n">
        <f aca="false">6219*14000</f>
        <v>87066000</v>
      </c>
    </row>
    <row r="6" customFormat="false" ht="15.65" hidden="false" customHeight="false" outlineLevel="0" collapsed="false">
      <c r="A6" s="3" t="s">
        <v>7</v>
      </c>
      <c r="B6" s="2" t="n">
        <v>148618513429</v>
      </c>
      <c r="C6" s="2" t="n">
        <v>96061699364</v>
      </c>
      <c r="D6" s="2" t="n">
        <v>108153236174</v>
      </c>
      <c r="E6" s="8" t="n">
        <v>125895214924</v>
      </c>
      <c r="F6" s="5" t="n">
        <v>178440258908</v>
      </c>
      <c r="G6" s="2" t="n">
        <f aca="false">72478*14000</f>
        <v>1014692000</v>
      </c>
      <c r="H6" s="2" t="n">
        <f aca="false">74023*14000</f>
        <v>1036322000</v>
      </c>
      <c r="I6" s="2" t="n">
        <f aca="false">76070*14000</f>
        <v>1064980000</v>
      </c>
      <c r="J6" s="2" t="n">
        <f aca="false">75645*14000</f>
        <v>1059030000</v>
      </c>
      <c r="K6" s="6" t="n">
        <f aca="false">81364*14000</f>
        <v>1139096000</v>
      </c>
    </row>
    <row r="7" customFormat="false" ht="15.65" hidden="false" customHeight="false" outlineLevel="0" collapsed="false">
      <c r="A7" s="3" t="s">
        <v>8</v>
      </c>
      <c r="B7" s="2" t="n">
        <v>103037393039</v>
      </c>
      <c r="C7" s="2" t="n">
        <v>83977625835</v>
      </c>
      <c r="D7" s="2" t="n">
        <v>114959432645</v>
      </c>
      <c r="E7" s="8" t="n">
        <v>99631561298</v>
      </c>
      <c r="F7" s="5" t="n">
        <v>65453742020</v>
      </c>
      <c r="G7" s="2" t="n">
        <f aca="false">455897*14000</f>
        <v>6382558000</v>
      </c>
      <c r="H7" s="2" t="n">
        <f aca="false">169323*14000</f>
        <v>2370522000</v>
      </c>
      <c r="I7" s="2" t="n">
        <f aca="false">286093*14000</f>
        <v>4005302000</v>
      </c>
      <c r="J7" s="2" t="n">
        <f aca="false">260384*14000</f>
        <v>3645376000</v>
      </c>
      <c r="K7" s="6" t="n">
        <f aca="false">228514*14000</f>
        <v>3199196000</v>
      </c>
    </row>
    <row r="8" customFormat="false" ht="15.65" hidden="false" customHeight="false" outlineLevel="0" collapsed="false">
      <c r="A8" s="3" t="s">
        <v>9</v>
      </c>
      <c r="B8" s="2" t="n">
        <v>104156613596</v>
      </c>
      <c r="C8" s="2" t="n">
        <v>61284370702</v>
      </c>
      <c r="D8" s="2" t="n">
        <v>76810698000</v>
      </c>
      <c r="E8" s="8" t="n">
        <v>71574928448</v>
      </c>
      <c r="F8" s="5" t="n">
        <v>99746940033</v>
      </c>
      <c r="G8" s="2" t="n">
        <f aca="false">-159497*14000</f>
        <v>-2232958000</v>
      </c>
      <c r="H8" s="2" t="n">
        <f aca="false">161064*14000</f>
        <v>2254896000</v>
      </c>
      <c r="I8" s="2" t="n">
        <f aca="false">46495*14000</f>
        <v>650930000</v>
      </c>
      <c r="J8" s="2" t="n">
        <f aca="false">57510*14000</f>
        <v>805140000</v>
      </c>
      <c r="K8" s="6" t="n">
        <f aca="false">111565*14000</f>
        <v>1561910000</v>
      </c>
    </row>
    <row r="9" customFormat="false" ht="15.65" hidden="false" customHeight="false" outlineLevel="0" collapsed="false">
      <c r="A9" s="3" t="s">
        <v>10</v>
      </c>
      <c r="B9" s="2" t="n">
        <v>720000000</v>
      </c>
      <c r="C9" s="2" t="n">
        <v>720000000</v>
      </c>
      <c r="D9" s="2" t="n">
        <v>720000000</v>
      </c>
      <c r="E9" s="2" t="n">
        <v>720000000</v>
      </c>
      <c r="F9" s="2" t="n">
        <v>720000000</v>
      </c>
      <c r="G9" s="2" t="n">
        <v>3131000000</v>
      </c>
      <c r="H9" s="2" t="n">
        <v>3131000000</v>
      </c>
      <c r="I9" s="2" t="n">
        <v>3131000000</v>
      </c>
      <c r="J9" s="2" t="n">
        <v>3131000000</v>
      </c>
      <c r="K9" s="2" t="n">
        <v>3131000000</v>
      </c>
    </row>
    <row r="10" customFormat="false" ht="15.65" hidden="false" customHeight="false" outlineLevel="0" collapsed="false">
      <c r="A10" s="1" t="s">
        <v>0</v>
      </c>
      <c r="B10" s="2" t="s">
        <v>1</v>
      </c>
      <c r="C10" s="2" t="s">
        <v>1</v>
      </c>
      <c r="D10" s="2" t="s">
        <v>1</v>
      </c>
      <c r="E10" s="2" t="s">
        <v>1</v>
      </c>
      <c r="F10" s="2" t="s">
        <v>1</v>
      </c>
      <c r="G10" s="2" t="s">
        <v>2</v>
      </c>
      <c r="H10" s="2" t="s">
        <v>2</v>
      </c>
      <c r="I10" s="2" t="s">
        <v>2</v>
      </c>
      <c r="J10" s="2" t="s">
        <v>2</v>
      </c>
      <c r="K10" s="2" t="s">
        <v>2</v>
      </c>
    </row>
    <row r="11" customFormat="false" ht="15.65" hidden="false" customHeight="false" outlineLevel="0" collapsed="false">
      <c r="A11" s="1" t="s">
        <v>3</v>
      </c>
      <c r="B11" s="2" t="n">
        <v>2022</v>
      </c>
      <c r="C11" s="2" t="n">
        <v>2021</v>
      </c>
      <c r="D11" s="2" t="n">
        <v>2020</v>
      </c>
      <c r="E11" s="2" t="n">
        <v>2019</v>
      </c>
      <c r="F11" s="2" t="n">
        <v>2018</v>
      </c>
      <c r="G11" s="2" t="n">
        <v>2022</v>
      </c>
      <c r="H11" s="2" t="n">
        <v>2021</v>
      </c>
      <c r="I11" s="2" t="n">
        <v>2020</v>
      </c>
      <c r="J11" s="2" t="n">
        <v>2019</v>
      </c>
      <c r="K11" s="2" t="n">
        <v>2018</v>
      </c>
    </row>
    <row r="12" customFormat="false" ht="15.65" hidden="false" customHeight="false" outlineLevel="0" collapsed="false">
      <c r="A12" s="3" t="s">
        <v>11</v>
      </c>
      <c r="B12" s="2" t="n">
        <v>237293660304</v>
      </c>
      <c r="C12" s="2" t="n">
        <v>479636030718</v>
      </c>
      <c r="D12" s="2" t="n">
        <v>521617491481</v>
      </c>
      <c r="E12" s="8" t="n">
        <v>474271493696</v>
      </c>
      <c r="F12" s="5" t="n">
        <v>319106290160</v>
      </c>
      <c r="G12" s="2" t="n">
        <f aca="false">92176*14000</f>
        <v>1290464000</v>
      </c>
      <c r="H12" s="2" t="n">
        <f aca="false">115344*14000</f>
        <v>1614816000</v>
      </c>
      <c r="I12" s="2" t="n">
        <f aca="false">42160*14000</f>
        <v>590240000</v>
      </c>
      <c r="J12" s="2" t="n">
        <f aca="false">62803*14000</f>
        <v>879242000</v>
      </c>
      <c r="K12" s="6" t="n">
        <f aca="false">38161*14000</f>
        <v>534254000</v>
      </c>
    </row>
    <row r="13" customFormat="false" ht="15.65" hidden="false" customHeight="false" outlineLevel="0" collapsed="false">
      <c r="A13" s="3" t="s">
        <v>12</v>
      </c>
      <c r="B13" s="2" t="n">
        <v>42466719927</v>
      </c>
      <c r="C13" s="2" t="n">
        <v>88280189810</v>
      </c>
      <c r="D13" s="2" t="n">
        <v>56938428486</v>
      </c>
      <c r="E13" s="8" t="n">
        <v>79282385083</v>
      </c>
      <c r="F13" s="2" t="n">
        <v>67974028134</v>
      </c>
      <c r="G13" s="2" t="n">
        <f aca="false">27923*14000</f>
        <v>390922000</v>
      </c>
      <c r="H13" s="2" t="n">
        <f aca="false">21813*14000</f>
        <v>305382000</v>
      </c>
      <c r="I13" s="2" t="n">
        <f aca="false">-5313*14000</f>
        <v>-74382000</v>
      </c>
      <c r="J13" s="2" t="n">
        <f aca="false">41*14000</f>
        <v>574000</v>
      </c>
      <c r="K13" s="2" t="n">
        <f aca="false">2050*14000</f>
        <v>28700000</v>
      </c>
    </row>
    <row r="14" customFormat="false" ht="15.65" hidden="false" customHeight="false" outlineLevel="0" collapsed="false">
      <c r="A14" s="3" t="s">
        <v>13</v>
      </c>
      <c r="B14" s="2" t="n">
        <v>53760565118</v>
      </c>
      <c r="C14" s="2" t="n">
        <v>33356183267</v>
      </c>
      <c r="D14" s="2" t="n">
        <v>6342659779</v>
      </c>
      <c r="E14" s="8" t="n">
        <v>15565079038</v>
      </c>
      <c r="F14" s="2" t="n">
        <v>35781546542</v>
      </c>
      <c r="G14" s="2" t="n">
        <f aca="false">19923*14000</f>
        <v>278922000</v>
      </c>
      <c r="H14" s="2" t="n">
        <f aca="false">5385*14000</f>
        <v>75390000</v>
      </c>
      <c r="I14" s="2" t="n">
        <f aca="false">-17918*14000</f>
        <v>-250852000</v>
      </c>
      <c r="J14" s="2" t="n">
        <f aca="false">-5696*14000</f>
        <v>-79744000</v>
      </c>
      <c r="K14" s="6" t="n">
        <f aca="false">-28767*14000</f>
        <v>-402738000</v>
      </c>
    </row>
    <row r="15" customFormat="false" ht="15.65" hidden="false" customHeight="false" outlineLevel="0" collapsed="false">
      <c r="A15" s="3" t="s">
        <v>14</v>
      </c>
      <c r="B15" s="2" t="n">
        <v>43692587106</v>
      </c>
      <c r="C15" s="2" t="n">
        <v>24226913508</v>
      </c>
      <c r="D15" s="2" t="n">
        <v>3036178470</v>
      </c>
      <c r="E15" s="8" t="n">
        <v>4177237649</v>
      </c>
      <c r="F15" s="5" t="n">
        <v>26482339033</v>
      </c>
      <c r="G15" s="2" t="n">
        <f aca="false">17106*14000</f>
        <v>239484000</v>
      </c>
      <c r="H15" s="2" t="n">
        <f aca="false">918*14000</f>
        <v>12852000</v>
      </c>
      <c r="I15" s="2" t="n">
        <f aca="false">-16405*14000</f>
        <v>-229670000</v>
      </c>
      <c r="J15" s="2" t="n">
        <f aca="false">-5537*14000</f>
        <v>-77518000</v>
      </c>
      <c r="K15" s="6" t="n">
        <f aca="false">-28258*14000</f>
        <v>-395612000</v>
      </c>
    </row>
    <row r="16" customFormat="false" ht="15.65" hidden="false" customHeight="false" outlineLevel="0" collapsed="false">
      <c r="A16" s="3" t="s">
        <v>15</v>
      </c>
      <c r="B16" s="2" t="n">
        <v>203491171354</v>
      </c>
      <c r="C16" s="2" t="n">
        <v>505061241290</v>
      </c>
      <c r="D16" s="2" t="n">
        <v>513934437857</v>
      </c>
      <c r="E16" s="8" t="n">
        <v>410453527002</v>
      </c>
      <c r="F16" s="5" t="n">
        <v>295942243425</v>
      </c>
      <c r="G16" s="2" t="n">
        <f aca="false">73623*14000</f>
        <v>1030722000</v>
      </c>
      <c r="H16" s="2" t="n">
        <f aca="false">112029*14000</f>
        <v>1568406000</v>
      </c>
      <c r="I16" s="2" t="n">
        <f aca="false">45024*14000</f>
        <v>630336000</v>
      </c>
      <c r="J16" s="2" t="n">
        <f aca="false">62460*14000</f>
        <v>874440000</v>
      </c>
      <c r="K16" s="6" t="n">
        <f aca="false">34674*14000</f>
        <v>485436000</v>
      </c>
    </row>
    <row r="17" customFormat="false" ht="15.65" hidden="false" customHeight="false" outlineLevel="0" collapsed="false">
      <c r="A17" s="3" t="s">
        <v>16</v>
      </c>
      <c r="B17" s="2" t="n">
        <v>54995008656</v>
      </c>
      <c r="C17" s="2" t="n">
        <v>41260471103</v>
      </c>
      <c r="D17" s="2" t="n">
        <v>32264752092</v>
      </c>
      <c r="E17" s="8" t="n">
        <v>40164454012</v>
      </c>
      <c r="F17" s="5" t="n">
        <v>27657403446</v>
      </c>
      <c r="G17" s="2" t="n">
        <f aca="false">57510*14000</f>
        <v>805140000</v>
      </c>
      <c r="H17" s="2" t="n">
        <f aca="false">17787*14000</f>
        <v>249018000</v>
      </c>
      <c r="I17" s="2" t="n">
        <f aca="false">15925*14000</f>
        <v>222950000</v>
      </c>
      <c r="J17" s="2" t="n">
        <f aca="false">9939*14000</f>
        <v>139146000</v>
      </c>
      <c r="K17" s="6" t="n">
        <f aca="false">14168*14000</f>
        <v>198352000</v>
      </c>
    </row>
    <row r="18" customFormat="false" ht="15.65" hidden="false" customHeight="false" outlineLevel="0" collapsed="false">
      <c r="A18" s="3" t="s">
        <v>17</v>
      </c>
      <c r="B18" s="2" t="n">
        <v>-15964039305</v>
      </c>
      <c r="C18" s="2" t="n">
        <v>-2653158804</v>
      </c>
      <c r="D18" s="2" t="n">
        <v>-3123309056</v>
      </c>
      <c r="E18" s="8" t="n">
        <v>-24393848230</v>
      </c>
      <c r="F18" s="5" t="n">
        <v>-109036903296</v>
      </c>
      <c r="G18" s="2" t="n">
        <f aca="false">49348*14000</f>
        <v>690872000</v>
      </c>
      <c r="H18" s="2" t="n">
        <f aca="false">-11124*14000</f>
        <v>-155736000</v>
      </c>
      <c r="I18" s="2" t="n">
        <f aca="false">-12506*14000</f>
        <v>-175084000</v>
      </c>
      <c r="J18" s="2" t="n">
        <f aca="false">-47779*14000</f>
        <v>-668906000</v>
      </c>
      <c r="K18" s="6" t="n">
        <f aca="false">-24982*14000</f>
        <v>-349748000</v>
      </c>
    </row>
    <row r="19" customFormat="false" ht="15.65" hidden="false" customHeight="false" outlineLevel="0" collapsed="false">
      <c r="A19" s="3" t="s">
        <v>18</v>
      </c>
      <c r="B19" s="2" t="n">
        <v>-12925362548</v>
      </c>
      <c r="C19" s="2" t="n">
        <v>-20150287703</v>
      </c>
      <c r="D19" s="2" t="n">
        <v>-7945313141</v>
      </c>
      <c r="E19" s="8" t="n">
        <v>-17871070563</v>
      </c>
      <c r="F19" s="5" t="n">
        <v>106182728748</v>
      </c>
      <c r="G19" s="2" t="n">
        <f aca="false">-95875*14000</f>
        <v>-1342250000</v>
      </c>
      <c r="H19" s="2" t="n">
        <f aca="false">-5001*14000</f>
        <v>-70014000</v>
      </c>
      <c r="I19" s="2" t="n">
        <f aca="false">-4263*14000</f>
        <v>-59682000</v>
      </c>
      <c r="J19" s="2" t="n">
        <f aca="false">37646*14000</f>
        <v>527044000</v>
      </c>
      <c r="K19" s="6" t="n">
        <f aca="false">7902*14000</f>
        <v>110628000</v>
      </c>
    </row>
  </sheetData>
  <conditionalFormatting sqref="A1:A19 F6:F8 F12 F15:F19 F3:F4">
    <cfRule type="containsText" priority="2" operator="containsText" aboveAverage="0" equalAverage="0" bottom="0" percent="0" rank="0" text="-" dxfId="0">
      <formula>NOT(ISERROR(SEARCH("-",A1)))</formula>
    </cfRule>
  </conditionalFormatting>
  <conditionalFormatting sqref="K3:K8 K12 K14:K19">
    <cfRule type="containsText" priority="3" operator="containsText" aboveAverage="0" equalAverage="0" bottom="0" percent="0" rank="0" text="-" dxfId="1">
      <formula>NOT(ISERROR(SEARCH("-",K3)))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9" activeCellId="1" sqref="F5 B9"/>
    </sheetView>
  </sheetViews>
  <sheetFormatPr defaultColWidth="8.70703125" defaultRowHeight="12.75" zeroHeight="false" outlineLevelRow="0" outlineLevelCol="0"/>
  <cols>
    <col collapsed="false" customWidth="true" hidden="false" outlineLevel="0" max="1" min="1" style="0" width="19.71"/>
    <col collapsed="false" customWidth="true" hidden="false" outlineLevel="0" max="5" min="2" style="0" width="13.14"/>
    <col collapsed="false" customWidth="true" hidden="false" outlineLevel="0" max="6" min="6" style="0" width="14.43"/>
  </cols>
  <sheetData>
    <row r="1" customFormat="false" ht="15.75" hidden="false" customHeight="false" outlineLevel="0" collapsed="false">
      <c r="A1" s="1" t="s">
        <v>0</v>
      </c>
      <c r="B1" s="2" t="s">
        <v>25</v>
      </c>
      <c r="C1" s="2" t="s">
        <v>25</v>
      </c>
      <c r="D1" s="2" t="s">
        <v>25</v>
      </c>
      <c r="E1" s="2" t="s">
        <v>25</v>
      </c>
      <c r="F1" s="2" t="s">
        <v>25</v>
      </c>
    </row>
    <row r="2" customFormat="false" ht="15.75" hidden="false" customHeight="false" outlineLevel="0" collapsed="false">
      <c r="A2" s="1" t="s">
        <v>3</v>
      </c>
      <c r="B2" s="2" t="n">
        <v>2022</v>
      </c>
      <c r="C2" s="2" t="n">
        <v>2021</v>
      </c>
      <c r="D2" s="2" t="n">
        <v>2020</v>
      </c>
      <c r="E2" s="2" t="n">
        <v>2019</v>
      </c>
      <c r="F2" s="2" t="n">
        <v>2018</v>
      </c>
    </row>
    <row r="3" customFormat="false" ht="15.75" hidden="false" customHeight="false" outlineLevel="0" collapsed="false">
      <c r="A3" s="3" t="s">
        <v>4</v>
      </c>
      <c r="B3" s="2" t="n">
        <v>1566836000000</v>
      </c>
      <c r="C3" s="4" t="n">
        <v>1598901000000</v>
      </c>
      <c r="D3" s="2" t="n">
        <v>1649669000000</v>
      </c>
      <c r="E3" s="2" t="n">
        <v>2040591000000</v>
      </c>
      <c r="F3" s="5" t="n">
        <v>1444310000000</v>
      </c>
    </row>
    <row r="4" customFormat="false" ht="15.75" hidden="false" customHeight="false" outlineLevel="0" collapsed="false">
      <c r="A4" s="3" t="s">
        <v>5</v>
      </c>
      <c r="B4" s="7" t="n">
        <f aca="false">(665305+24857+35481)*1000000</f>
        <v>725643000000</v>
      </c>
      <c r="C4" s="2" t="n">
        <f aca="false">(626006+26119+34827)*1000000</f>
        <v>686952000000</v>
      </c>
      <c r="D4" s="2" t="n">
        <f aca="false">(563444+50794+42006)*1000000</f>
        <v>656244000000</v>
      </c>
      <c r="E4" s="2" t="n">
        <f aca="false">(613245+34946+3876)*1000000</f>
        <v>652067000000</v>
      </c>
      <c r="F4" s="5" t="n">
        <f aca="false">(530498+25993+4128)*1000000</f>
        <v>560619000000</v>
      </c>
    </row>
    <row r="5" customFormat="false" ht="15.75" hidden="false" customHeight="false" outlineLevel="0" collapsed="false">
      <c r="A5" s="3" t="s">
        <v>6</v>
      </c>
      <c r="B5" s="2" t="n">
        <v>1063389000000</v>
      </c>
      <c r="C5" s="2" t="n">
        <v>681983000000</v>
      </c>
      <c r="D5" s="2" t="n">
        <v>924639000000</v>
      </c>
      <c r="E5" s="2" t="n">
        <v>987927000000</v>
      </c>
      <c r="F5" s="5" t="n">
        <v>708773000000</v>
      </c>
    </row>
    <row r="6" customFormat="false" ht="15.75" hidden="false" customHeight="false" outlineLevel="0" collapsed="false">
      <c r="A6" s="3" t="s">
        <v>7</v>
      </c>
      <c r="B6" s="2" t="n">
        <v>2213150000000</v>
      </c>
      <c r="C6" s="2" t="n">
        <v>2165353000000</v>
      </c>
      <c r="D6" s="2" t="n">
        <v>1715401000000</v>
      </c>
      <c r="E6" s="2" t="n">
        <v>1556666000000</v>
      </c>
      <c r="F6" s="5" t="n">
        <v>1453135000000</v>
      </c>
    </row>
    <row r="7" customFormat="false" ht="15.75" hidden="false" customHeight="false" outlineLevel="0" collapsed="false">
      <c r="A7" s="3" t="s">
        <v>8</v>
      </c>
      <c r="B7" s="2" t="n">
        <v>1441063000000</v>
      </c>
      <c r="C7" s="2" t="n">
        <v>1556539000000</v>
      </c>
      <c r="D7" s="2" t="n">
        <v>2327339000000</v>
      </c>
      <c r="E7" s="2" t="n">
        <v>836314000000</v>
      </c>
      <c r="F7" s="5" t="n">
        <v>635161000000</v>
      </c>
    </row>
    <row r="8" customFormat="false" ht="15.75" hidden="false" customHeight="false" outlineLevel="0" collapsed="false">
      <c r="A8" s="3" t="s">
        <v>9</v>
      </c>
      <c r="B8" s="2" t="n">
        <v>704378000000</v>
      </c>
      <c r="C8" s="2" t="n">
        <v>712191000000</v>
      </c>
      <c r="D8" s="2" t="n">
        <v>1645040000000</v>
      </c>
      <c r="E8" s="2" t="n">
        <v>116969000000</v>
      </c>
      <c r="F8" s="5" t="n">
        <v>80304000000</v>
      </c>
    </row>
    <row r="9" customFormat="false" ht="15.75" hidden="false" customHeight="false" outlineLevel="0" collapsed="false">
      <c r="A9" s="3" t="s">
        <v>10</v>
      </c>
      <c r="B9" s="2" t="n">
        <v>11553528000</v>
      </c>
      <c r="C9" s="2" t="n">
        <v>11553528000</v>
      </c>
      <c r="D9" s="2" t="n">
        <v>11553528000</v>
      </c>
      <c r="E9" s="2" t="n">
        <v>11553528000</v>
      </c>
      <c r="F9" s="2" t="n">
        <v>11553528000</v>
      </c>
    </row>
    <row r="10" customFormat="false" ht="15.75" hidden="false" customHeight="false" outlineLevel="0" collapsed="false">
      <c r="A10" s="1" t="s">
        <v>0</v>
      </c>
      <c r="B10" s="2" t="s">
        <v>25</v>
      </c>
      <c r="C10" s="2" t="s">
        <v>25</v>
      </c>
      <c r="D10" s="2" t="s">
        <v>25</v>
      </c>
      <c r="E10" s="2" t="s">
        <v>25</v>
      </c>
      <c r="F10" s="2" t="s">
        <v>25</v>
      </c>
    </row>
    <row r="11" customFormat="false" ht="15.75" hidden="false" customHeight="false" outlineLevel="0" collapsed="false">
      <c r="A11" s="1" t="s">
        <v>3</v>
      </c>
      <c r="B11" s="2" t="n">
        <v>2022</v>
      </c>
      <c r="C11" s="2" t="n">
        <v>2021</v>
      </c>
      <c r="D11" s="2" t="n">
        <v>2020</v>
      </c>
      <c r="E11" s="2" t="n">
        <v>2019</v>
      </c>
      <c r="F11" s="2" t="n">
        <v>2018</v>
      </c>
    </row>
    <row r="12" customFormat="false" ht="15.75" hidden="false" customHeight="false" outlineLevel="0" collapsed="false">
      <c r="A12" s="3" t="s">
        <v>11</v>
      </c>
      <c r="B12" s="2" t="n">
        <v>3690908000000</v>
      </c>
      <c r="C12" s="2" t="n">
        <v>666642000000</v>
      </c>
      <c r="D12" s="2" t="n">
        <v>5967362000000</v>
      </c>
      <c r="E12" s="2" t="n">
        <v>6241419000000</v>
      </c>
      <c r="F12" s="5" t="n">
        <v>5472882000000</v>
      </c>
    </row>
    <row r="13" customFormat="false" ht="15.75" hidden="false" customHeight="false" outlineLevel="0" collapsed="false">
      <c r="A13" s="3" t="s">
        <v>12</v>
      </c>
      <c r="B13" s="2" t="n">
        <v>1273198000000</v>
      </c>
      <c r="C13" s="2" t="n">
        <v>2374946000000</v>
      </c>
      <c r="D13" s="2" t="n">
        <v>2228527000000</v>
      </c>
      <c r="E13" s="2" t="n">
        <v>2349718000000</v>
      </c>
      <c r="F13" s="2" t="n">
        <v>1956276000000</v>
      </c>
    </row>
    <row r="14" customFormat="false" ht="15.75" hidden="false" customHeight="false" outlineLevel="0" collapsed="false">
      <c r="A14" s="3" t="s">
        <v>13</v>
      </c>
      <c r="B14" s="2" t="n">
        <v>789865000000</v>
      </c>
      <c r="C14" s="2" t="n">
        <v>1541932000000</v>
      </c>
      <c r="D14" s="2" t="n">
        <v>1421517000000</v>
      </c>
      <c r="E14" s="2" t="n">
        <v>1375359000000</v>
      </c>
      <c r="F14" s="5" t="n">
        <v>949018000000</v>
      </c>
    </row>
    <row r="15" customFormat="false" ht="15.75" hidden="false" customHeight="false" outlineLevel="0" collapsed="false">
      <c r="A15" s="3" t="s">
        <v>14</v>
      </c>
      <c r="B15" s="2" t="n">
        <v>608397000000</v>
      </c>
      <c r="C15" s="2" t="n">
        <v>1276793000000</v>
      </c>
      <c r="D15" s="2" t="n">
        <v>1109666000000</v>
      </c>
      <c r="E15" s="2" t="n">
        <v>1035865000000</v>
      </c>
      <c r="F15" s="5" t="n">
        <v>701607000000</v>
      </c>
    </row>
    <row r="16" customFormat="false" ht="15.75" hidden="false" customHeight="false" outlineLevel="0" collapsed="false">
      <c r="A16" s="3" t="s">
        <v>15</v>
      </c>
      <c r="B16" s="2" t="n">
        <v>4020613000000</v>
      </c>
      <c r="C16" s="2" t="n">
        <v>7214907000000</v>
      </c>
      <c r="D16" s="2" t="n">
        <v>6601124000000</v>
      </c>
      <c r="E16" s="2" t="n">
        <v>6780452000000</v>
      </c>
      <c r="F16" s="5" t="n">
        <v>5991530000000</v>
      </c>
    </row>
    <row r="17" customFormat="false" ht="15.75" hidden="false" customHeight="false" outlineLevel="0" collapsed="false">
      <c r="A17" s="3" t="s">
        <v>16</v>
      </c>
      <c r="B17" s="2" t="n">
        <v>158090000000</v>
      </c>
      <c r="C17" s="2" t="n">
        <v>1414447000000</v>
      </c>
      <c r="D17" s="2" t="n">
        <v>1217063000000</v>
      </c>
      <c r="E17" s="2" t="n">
        <v>1096817000000</v>
      </c>
      <c r="F17" s="5" t="n">
        <v>575823000000</v>
      </c>
    </row>
    <row r="18" customFormat="false" ht="15.75" hidden="false" customHeight="false" outlineLevel="0" collapsed="false">
      <c r="A18" s="3" t="s">
        <v>17</v>
      </c>
      <c r="B18" s="2" t="n">
        <v>-180454000000</v>
      </c>
      <c r="C18" s="2" t="n">
        <v>1024322000000</v>
      </c>
      <c r="D18" s="2" t="n">
        <v>-2636522000000</v>
      </c>
      <c r="E18" s="2" t="n">
        <v>-264854000000</v>
      </c>
      <c r="F18" s="5" t="n">
        <v>-1089186000000</v>
      </c>
    </row>
    <row r="19" customFormat="false" ht="15.75" hidden="false" customHeight="false" outlineLevel="0" collapsed="false">
      <c r="A19" s="3" t="s">
        <v>18</v>
      </c>
      <c r="B19" s="2" t="n">
        <v>-9701000000</v>
      </c>
      <c r="C19" s="2" t="n">
        <v>-2489537000000</v>
      </c>
      <c r="D19" s="2" t="n">
        <v>1024537000000</v>
      </c>
      <c r="E19" s="2" t="n">
        <v>-235682000000</v>
      </c>
      <c r="F19" s="5" t="n">
        <v>-162727000000</v>
      </c>
    </row>
  </sheetData>
  <conditionalFormatting sqref="A1:A19 F3:F8 F12 F14:F19">
    <cfRule type="containsText" priority="2" operator="containsText" aboveAverage="0" equalAverage="0" bottom="0" percent="0" rank="0" text="-" dxfId="8">
      <formula>NOT(ISERROR(SEARCH("-",A1)))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9" activeCellId="1" sqref="F5 B9"/>
    </sheetView>
  </sheetViews>
  <sheetFormatPr defaultColWidth="8.70703125" defaultRowHeight="12.75" zeroHeight="false" outlineLevelRow="0" outlineLevelCol="0"/>
  <cols>
    <col collapsed="false" customWidth="true" hidden="false" outlineLevel="0" max="1" min="1" style="0" width="19.71"/>
    <col collapsed="false" customWidth="true" hidden="false" outlineLevel="0" max="5" min="2" style="0" width="13.14"/>
    <col collapsed="false" customWidth="true" hidden="false" outlineLevel="0" max="6" min="6" style="0" width="14.43"/>
  </cols>
  <sheetData>
    <row r="1" customFormat="false" ht="15.75" hidden="false" customHeight="false" outlineLevel="0" collapsed="false">
      <c r="A1" s="1" t="s">
        <v>0</v>
      </c>
      <c r="B1" s="2" t="s">
        <v>26</v>
      </c>
      <c r="C1" s="2" t="s">
        <v>26</v>
      </c>
      <c r="D1" s="2" t="s">
        <v>26</v>
      </c>
      <c r="E1" s="2" t="s">
        <v>26</v>
      </c>
      <c r="F1" s="2" t="s">
        <v>26</v>
      </c>
    </row>
    <row r="2" customFormat="false" ht="15.75" hidden="false" customHeight="false" outlineLevel="0" collapsed="false">
      <c r="A2" s="1" t="s">
        <v>3</v>
      </c>
      <c r="B2" s="2" t="n">
        <v>2022</v>
      </c>
      <c r="C2" s="2" t="n">
        <v>2021</v>
      </c>
      <c r="D2" s="2" t="n">
        <v>2020</v>
      </c>
      <c r="E2" s="2" t="n">
        <v>2019</v>
      </c>
      <c r="F2" s="2" t="n">
        <v>2018</v>
      </c>
    </row>
    <row r="3" customFormat="false" ht="15.75" hidden="false" customHeight="false" outlineLevel="0" collapsed="false">
      <c r="A3" s="3" t="s">
        <v>4</v>
      </c>
      <c r="B3" s="2" t="n">
        <v>133742723</v>
      </c>
      <c r="C3" s="4" t="n">
        <v>171411876</v>
      </c>
      <c r="D3" s="2" t="n">
        <v>475785704</v>
      </c>
      <c r="E3" s="2" t="n">
        <v>393876050</v>
      </c>
      <c r="F3" s="5" t="n">
        <v>209492929</v>
      </c>
    </row>
    <row r="4" customFormat="false" ht="15.75" hidden="false" customHeight="false" outlineLevel="0" collapsed="false">
      <c r="A4" s="3" t="s">
        <v>5</v>
      </c>
      <c r="B4" s="7" t="n">
        <f aca="false">365218019+38891819+3185585+444482</f>
        <v>407739905</v>
      </c>
      <c r="C4" s="2" t="n">
        <f aca="false">285649542+38937027+4953709+611828</f>
        <v>330152106</v>
      </c>
      <c r="D4" s="2" t="n">
        <f aca="false">234035914+30891078+4986510+2751589</f>
        <v>272665091</v>
      </c>
      <c r="E4" s="2" t="n">
        <f aca="false">276555822+28170929+5206888+237591</f>
        <v>310171230</v>
      </c>
      <c r="F4" s="5" t="n">
        <f aca="false">288231149+46282075+3838636+721346</f>
        <v>339073206</v>
      </c>
    </row>
    <row r="5" customFormat="false" ht="15.75" hidden="false" customHeight="false" outlineLevel="0" collapsed="false">
      <c r="A5" s="3" t="s">
        <v>6</v>
      </c>
      <c r="B5" s="2" t="n">
        <v>1127252333</v>
      </c>
      <c r="C5" s="2" t="n">
        <v>960254729</v>
      </c>
      <c r="D5" s="2" t="n">
        <v>612603486</v>
      </c>
      <c r="E5" s="2" t="n">
        <v>739924183</v>
      </c>
      <c r="F5" s="5" t="n">
        <v>962256286</v>
      </c>
    </row>
    <row r="6" customFormat="false" ht="15.75" hidden="false" customHeight="false" outlineLevel="0" collapsed="false">
      <c r="A6" s="3" t="s">
        <v>7</v>
      </c>
      <c r="B6" s="2" t="n">
        <v>1002691840</v>
      </c>
      <c r="C6" s="2" t="n">
        <v>1017327697</v>
      </c>
      <c r="D6" s="2" t="n">
        <v>736342962</v>
      </c>
      <c r="E6" s="2" t="n">
        <v>646162007</v>
      </c>
      <c r="F6" s="5" t="n">
        <v>496925726</v>
      </c>
    </row>
    <row r="7" customFormat="false" ht="15.75" hidden="false" customHeight="false" outlineLevel="0" collapsed="false">
      <c r="A7" s="3" t="s">
        <v>8</v>
      </c>
      <c r="B7" s="2" t="n">
        <v>580237478</v>
      </c>
      <c r="C7" s="2" t="n">
        <v>427148628</v>
      </c>
      <c r="D7" s="2" t="n">
        <v>394338211</v>
      </c>
      <c r="E7" s="2" t="n">
        <v>594735136</v>
      </c>
      <c r="F7" s="5" t="n">
        <v>708309176</v>
      </c>
    </row>
    <row r="8" customFormat="false" ht="15.75" hidden="false" customHeight="false" outlineLevel="0" collapsed="false">
      <c r="A8" s="3" t="s">
        <v>9</v>
      </c>
      <c r="B8" s="2" t="n">
        <v>108101738</v>
      </c>
      <c r="C8" s="2" t="n">
        <v>96959523</v>
      </c>
      <c r="D8" s="2" t="n">
        <v>98153587</v>
      </c>
      <c r="E8" s="2" t="n">
        <v>75959094</v>
      </c>
      <c r="F8" s="5" t="n">
        <v>43288405</v>
      </c>
    </row>
    <row r="9" customFormat="false" ht="15.75" hidden="false" customHeight="false" outlineLevel="0" collapsed="false">
      <c r="A9" s="3" t="s">
        <v>10</v>
      </c>
      <c r="B9" s="2" t="n">
        <v>1875000000</v>
      </c>
      <c r="C9" s="2" t="n">
        <v>1875000000</v>
      </c>
      <c r="D9" s="2" t="n">
        <v>1875000000</v>
      </c>
      <c r="E9" s="2" t="n">
        <v>1875000000</v>
      </c>
      <c r="F9" s="2" t="n">
        <v>1875000000</v>
      </c>
    </row>
    <row r="10" customFormat="false" ht="15.75" hidden="false" customHeight="false" outlineLevel="0" collapsed="false">
      <c r="A10" s="1" t="s">
        <v>0</v>
      </c>
      <c r="B10" s="2" t="s">
        <v>26</v>
      </c>
      <c r="C10" s="2" t="s">
        <v>26</v>
      </c>
      <c r="D10" s="2" t="s">
        <v>26</v>
      </c>
      <c r="E10" s="2" t="s">
        <v>26</v>
      </c>
      <c r="F10" s="2" t="s">
        <v>26</v>
      </c>
    </row>
    <row r="11" customFormat="false" ht="15.75" hidden="false" customHeight="false" outlineLevel="0" collapsed="false">
      <c r="A11" s="1" t="s">
        <v>3</v>
      </c>
      <c r="B11" s="2" t="n">
        <v>2022</v>
      </c>
      <c r="C11" s="2" t="n">
        <v>2021</v>
      </c>
      <c r="D11" s="2" t="n">
        <v>2020</v>
      </c>
      <c r="E11" s="2" t="n">
        <v>2019</v>
      </c>
      <c r="F11" s="2" t="n">
        <v>2018</v>
      </c>
    </row>
    <row r="12" customFormat="false" ht="15.75" hidden="false" customHeight="false" outlineLevel="0" collapsed="false">
      <c r="A12" s="3" t="s">
        <v>11</v>
      </c>
      <c r="B12" s="2" t="n">
        <v>2509403247</v>
      </c>
      <c r="C12" s="2" t="n">
        <v>4441512773</v>
      </c>
      <c r="D12" s="2" t="n">
        <v>3870552460</v>
      </c>
      <c r="E12" s="2" t="n">
        <v>4632864612</v>
      </c>
      <c r="F12" s="5" t="n">
        <v>4353287585</v>
      </c>
    </row>
    <row r="13" customFormat="false" ht="15.75" hidden="false" customHeight="false" outlineLevel="0" collapsed="false">
      <c r="A13" s="3" t="s">
        <v>12</v>
      </c>
      <c r="B13" s="2" t="n">
        <v>472998840</v>
      </c>
      <c r="C13" s="2" t="n">
        <v>879496471</v>
      </c>
      <c r="D13" s="2" t="n">
        <v>818681829</v>
      </c>
      <c r="E13" s="2" t="n">
        <v>601921739</v>
      </c>
      <c r="F13" s="2" t="n">
        <v>619748664</v>
      </c>
    </row>
    <row r="14" customFormat="false" ht="15.75" hidden="false" customHeight="false" outlineLevel="0" collapsed="false">
      <c r="A14" s="3" t="s">
        <v>13</v>
      </c>
      <c r="B14" s="2" t="n">
        <v>280867841</v>
      </c>
      <c r="C14" s="2" t="n">
        <v>525914220</v>
      </c>
      <c r="D14" s="2" t="n">
        <v>489217622</v>
      </c>
      <c r="E14" s="2" t="n">
        <v>297821465</v>
      </c>
      <c r="F14" s="5" t="n">
        <v>385050642</v>
      </c>
    </row>
    <row r="15" customFormat="false" ht="15.75" hidden="false" customHeight="false" outlineLevel="0" collapsed="false">
      <c r="A15" s="3" t="s">
        <v>14</v>
      </c>
      <c r="B15" s="2" t="n">
        <v>216391250</v>
      </c>
      <c r="C15" s="2" t="n">
        <v>412552472</v>
      </c>
      <c r="D15" s="2" t="n">
        <v>373653845</v>
      </c>
      <c r="E15" s="2" t="n">
        <v>223626619</v>
      </c>
      <c r="F15" s="5" t="n">
        <v>297628915</v>
      </c>
    </row>
    <row r="16" customFormat="false" ht="15.75" hidden="false" customHeight="false" outlineLevel="0" collapsed="false">
      <c r="A16" s="3" t="s">
        <v>15</v>
      </c>
      <c r="B16" s="2" t="n">
        <v>2431411936</v>
      </c>
      <c r="C16" s="2" t="n">
        <v>4381886944</v>
      </c>
      <c r="D16" s="2" t="n">
        <v>3909329718</v>
      </c>
      <c r="E16" s="2" t="n">
        <v>4661186425</v>
      </c>
      <c r="F16" s="5" t="n">
        <v>4292206700</v>
      </c>
    </row>
    <row r="17" customFormat="false" ht="15.75" hidden="false" customHeight="false" outlineLevel="0" collapsed="false">
      <c r="A17" s="3" t="s">
        <v>16</v>
      </c>
      <c r="B17" s="2" t="n">
        <v>-16257356</v>
      </c>
      <c r="C17" s="2" t="n">
        <v>140387079</v>
      </c>
      <c r="D17" s="2" t="n">
        <v>536058768</v>
      </c>
      <c r="E17" s="2" t="n">
        <v>550462013</v>
      </c>
      <c r="F17" s="5" t="n">
        <v>-260553766</v>
      </c>
    </row>
    <row r="18" customFormat="false" ht="15.75" hidden="false" customHeight="false" outlineLevel="0" collapsed="false">
      <c r="A18" s="3" t="s">
        <v>17</v>
      </c>
      <c r="B18" s="2" t="n">
        <v>27303174</v>
      </c>
      <c r="C18" s="2" t="n">
        <v>-254073970</v>
      </c>
      <c r="D18" s="2" t="n">
        <v>-175429376</v>
      </c>
      <c r="E18" s="2" t="n">
        <v>-148272125</v>
      </c>
      <c r="F18" s="5" t="n">
        <v>41350508</v>
      </c>
    </row>
    <row r="19" customFormat="false" ht="15.75" hidden="false" customHeight="false" outlineLevel="0" collapsed="false">
      <c r="A19" s="3" t="s">
        <v>18</v>
      </c>
      <c r="B19" s="2" t="n">
        <v>-39311590</v>
      </c>
      <c r="C19" s="2" t="n">
        <v>-194334490</v>
      </c>
      <c r="D19" s="2" t="n">
        <v>-269671963</v>
      </c>
      <c r="E19" s="2" t="n">
        <v>-213356292</v>
      </c>
      <c r="F19" s="5" t="n">
        <v>109083837</v>
      </c>
    </row>
  </sheetData>
  <conditionalFormatting sqref="A1:A19 F3:F8 F12 F14:F19">
    <cfRule type="containsText" priority="2" operator="containsText" aboveAverage="0" equalAverage="0" bottom="0" percent="0" rank="0" text="-" dxfId="9">
      <formula>NOT(ISERROR(SEARCH("-",A1)))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10" activeCellId="1" sqref="F5 K10"/>
    </sheetView>
  </sheetViews>
  <sheetFormatPr defaultColWidth="8.70703125" defaultRowHeight="12.8" zeroHeight="false" outlineLevelRow="0" outlineLevelCol="0"/>
  <cols>
    <col collapsed="false" customWidth="true" hidden="false" outlineLevel="0" max="1" min="1" style="0" width="19.71"/>
    <col collapsed="false" customWidth="true" hidden="false" outlineLevel="0" max="4" min="2" style="0" width="13.14"/>
    <col collapsed="false" customWidth="true" hidden="false" outlineLevel="0" max="1024" min="1024" style="0" width="11.52"/>
  </cols>
  <sheetData>
    <row r="1" customFormat="false" ht="15.65" hidden="false" customHeight="false" outlineLevel="0" collapsed="false">
      <c r="A1" s="1" t="s">
        <v>0</v>
      </c>
      <c r="B1" s="2" t="s">
        <v>27</v>
      </c>
      <c r="C1" s="2" t="s">
        <v>27</v>
      </c>
      <c r="D1" s="2" t="s">
        <v>27</v>
      </c>
      <c r="E1" s="2" t="s">
        <v>27</v>
      </c>
    </row>
    <row r="2" customFormat="false" ht="15.65" hidden="false" customHeight="false" outlineLevel="0" collapsed="false">
      <c r="A2" s="1" t="s">
        <v>3</v>
      </c>
      <c r="B2" s="2" t="n">
        <v>2021</v>
      </c>
      <c r="C2" s="2" t="n">
        <v>2020</v>
      </c>
      <c r="D2" s="2" t="n">
        <v>2019</v>
      </c>
      <c r="E2" s="2" t="n">
        <v>2018</v>
      </c>
    </row>
    <row r="3" customFormat="false" ht="15.65" hidden="false" customHeight="false" outlineLevel="0" collapsed="false">
      <c r="A3" s="3" t="s">
        <v>4</v>
      </c>
      <c r="B3" s="2" t="n">
        <f aca="false">16383639*14000</f>
        <v>229370946000</v>
      </c>
      <c r="C3" s="4" t="n">
        <f aca="false">35961274*14000</f>
        <v>503457836000</v>
      </c>
      <c r="D3" s="2" t="n">
        <f aca="false">14769560*14000</f>
        <v>206773840000</v>
      </c>
      <c r="E3" s="2" t="n">
        <f aca="false">45600524*14000</f>
        <v>638407336000</v>
      </c>
    </row>
    <row r="4" customFormat="false" ht="15.65" hidden="false" customHeight="false" outlineLevel="0" collapsed="false">
      <c r="A4" s="3" t="s">
        <v>5</v>
      </c>
      <c r="B4" s="7" t="n">
        <f aca="false">(109700683+108302+961468)*14000</f>
        <v>1550786342000</v>
      </c>
      <c r="C4" s="2" t="n">
        <f aca="false">(69750430+17340+299454)*14000</f>
        <v>980941136000</v>
      </c>
      <c r="D4" s="2" t="n">
        <f aca="false">(68362647+1446059+394006)*14000</f>
        <v>982837968000</v>
      </c>
      <c r="E4" s="2" t="n">
        <f aca="false">(92231834+586899+25493+484157)*14000</f>
        <v>1306597362000</v>
      </c>
    </row>
    <row r="5" customFormat="false" ht="15.65" hidden="false" customHeight="false" outlineLevel="0" collapsed="false">
      <c r="A5" s="3" t="s">
        <v>6</v>
      </c>
      <c r="B5" s="2" t="n">
        <f aca="false">133167633*14000</f>
        <v>1864346862000</v>
      </c>
      <c r="C5" s="2" t="n">
        <f aca="false">107772973*14000</f>
        <v>1508821622000</v>
      </c>
      <c r="D5" s="2" t="n">
        <f aca="false">135935512*14000</f>
        <v>1903097168000</v>
      </c>
      <c r="E5" s="2" t="n">
        <f aca="false">162443538*14000</f>
        <v>2274209532000</v>
      </c>
    </row>
    <row r="6" customFormat="false" ht="15.65" hidden="false" customHeight="false" outlineLevel="0" collapsed="false">
      <c r="A6" s="3" t="s">
        <v>7</v>
      </c>
      <c r="B6" s="2" t="n">
        <f aca="false">33894484*14000</f>
        <v>474522776000</v>
      </c>
      <c r="C6" s="2" t="n">
        <f aca="false">31645391*14000</f>
        <v>443035474000</v>
      </c>
      <c r="D6" s="2" t="n">
        <f aca="false">32253909*14000</f>
        <v>451554726000</v>
      </c>
      <c r="E6" s="2" t="n">
        <f aca="false">32395945*14000</f>
        <v>453543230000</v>
      </c>
    </row>
    <row r="7" customFormat="false" ht="15.65" hidden="false" customHeight="false" outlineLevel="0" collapsed="false">
      <c r="A7" s="3" t="s">
        <v>8</v>
      </c>
      <c r="B7" s="2" t="n">
        <f aca="false">133011436*14000</f>
        <v>1862160104000</v>
      </c>
      <c r="C7" s="2" t="n">
        <f aca="false">70397548*14000</f>
        <v>985565672000</v>
      </c>
      <c r="D7" s="2" t="n">
        <f aca="false">77656327*14000</f>
        <v>1087188578000</v>
      </c>
      <c r="E7" s="2" t="n">
        <f aca="false">165873539*14000</f>
        <v>2322229546000</v>
      </c>
    </row>
    <row r="8" customFormat="false" ht="15.65" hidden="false" customHeight="false" outlineLevel="0" collapsed="false">
      <c r="A8" s="3" t="s">
        <v>9</v>
      </c>
      <c r="B8" s="2" t="n">
        <f aca="false">11933094*14000</f>
        <v>167063316000</v>
      </c>
      <c r="C8" s="2" t="n">
        <f aca="false">11513207*14000</f>
        <v>161184898000</v>
      </c>
      <c r="D8" s="2" t="n">
        <f aca="false">10039504*14000</f>
        <v>140553056000</v>
      </c>
      <c r="E8" s="2" t="n">
        <f aca="false">11149711*14000</f>
        <v>156095954000</v>
      </c>
    </row>
    <row r="9" customFormat="false" ht="15.65" hidden="false" customHeight="false" outlineLevel="0" collapsed="false">
      <c r="A9" s="3" t="s">
        <v>10</v>
      </c>
      <c r="B9" s="2" t="n">
        <v>840000000</v>
      </c>
      <c r="C9" s="2" t="n">
        <v>840000000</v>
      </c>
      <c r="D9" s="2" t="n">
        <v>840000000</v>
      </c>
      <c r="E9" s="2" t="n">
        <v>840000000</v>
      </c>
    </row>
    <row r="10" customFormat="false" ht="15.65" hidden="false" customHeight="false" outlineLevel="0" collapsed="false">
      <c r="A10" s="1" t="s">
        <v>0</v>
      </c>
      <c r="B10" s="2" t="s">
        <v>27</v>
      </c>
      <c r="C10" s="2" t="s">
        <v>27</v>
      </c>
      <c r="D10" s="2" t="s">
        <v>27</v>
      </c>
      <c r="E10" s="2" t="s">
        <v>27</v>
      </c>
    </row>
    <row r="11" customFormat="false" ht="15.65" hidden="false" customHeight="false" outlineLevel="0" collapsed="false">
      <c r="A11" s="1" t="s">
        <v>3</v>
      </c>
      <c r="B11" s="2" t="n">
        <v>2021</v>
      </c>
      <c r="C11" s="2" t="n">
        <v>2020</v>
      </c>
      <c r="D11" s="2" t="n">
        <v>2019</v>
      </c>
      <c r="E11" s="2" t="n">
        <v>2018</v>
      </c>
    </row>
    <row r="12" customFormat="false" ht="15.65" hidden="false" customHeight="false" outlineLevel="0" collapsed="false">
      <c r="A12" s="3" t="s">
        <v>11</v>
      </c>
      <c r="B12" s="2" t="n">
        <f aca="false">463262626*14000</f>
        <v>6485676764000</v>
      </c>
      <c r="C12" s="2" t="n">
        <f aca="false">264010037*14000</f>
        <v>3696140518000</v>
      </c>
      <c r="D12" s="2" t="n">
        <f aca="false">424431271*14000</f>
        <v>5942037794000</v>
      </c>
      <c r="E12" s="2" t="n">
        <f aca="false">461333111*14000</f>
        <v>6458663554000</v>
      </c>
    </row>
    <row r="13" customFormat="false" ht="15.65" hidden="false" customHeight="false" outlineLevel="0" collapsed="false">
      <c r="A13" s="3" t="s">
        <v>12</v>
      </c>
      <c r="B13" s="2" t="n">
        <f aca="false">116400946*14000</f>
        <v>1629613244000</v>
      </c>
      <c r="C13" s="2" t="n">
        <f aca="false">69463577*14000</f>
        <v>972490078000</v>
      </c>
      <c r="D13" s="2" t="n">
        <f aca="false">107900378*14000</f>
        <v>1510605292000</v>
      </c>
      <c r="E13" s="2" t="n">
        <f aca="false">96522177*14000</f>
        <v>1351310478000</v>
      </c>
    </row>
    <row r="14" customFormat="false" ht="15.65" hidden="false" customHeight="false" outlineLevel="0" collapsed="false">
      <c r="A14" s="3" t="s">
        <v>13</v>
      </c>
      <c r="B14" s="2" t="n">
        <f aca="false">70863889*14000</f>
        <v>992094446000</v>
      </c>
      <c r="C14" s="2" t="n">
        <f aca="false">32890026*14000</f>
        <v>460460364000</v>
      </c>
      <c r="D14" s="2" t="n">
        <f aca="false">52258366*14000</f>
        <v>731617124000</v>
      </c>
      <c r="E14" s="2" t="n">
        <f aca="false">50181143*14000</f>
        <v>702536002000</v>
      </c>
    </row>
    <row r="15" customFormat="false" ht="15.65" hidden="false" customHeight="false" outlineLevel="0" collapsed="false">
      <c r="A15" s="3" t="s">
        <v>14</v>
      </c>
      <c r="B15" s="2" t="n">
        <f aca="false">55083408*14000</f>
        <v>771167712000</v>
      </c>
      <c r="C15" s="2" t="n">
        <f aca="false">25597235*14000</f>
        <v>358361290000</v>
      </c>
      <c r="D15" s="2" t="n">
        <f aca="false">38436806*14000</f>
        <v>538115284000</v>
      </c>
      <c r="E15" s="2" t="n">
        <f aca="false">37600177*14000</f>
        <v>526402478000</v>
      </c>
    </row>
    <row r="16" customFormat="false" ht="15.65" hidden="false" customHeight="false" outlineLevel="0" collapsed="false">
      <c r="A16" s="3" t="s">
        <v>15</v>
      </c>
      <c r="B16" s="2" t="n">
        <f aca="false">429802631*14000</f>
        <v>6017236834000</v>
      </c>
      <c r="C16" s="2" t="n">
        <f aca="false">264904434*14000</f>
        <v>3708662076000</v>
      </c>
      <c r="D16" s="2" t="n">
        <f aca="false">443372777*14000</f>
        <v>6207218878000</v>
      </c>
      <c r="E16" s="2" t="n">
        <f aca="false">436681545*14000</f>
        <v>6113541630000</v>
      </c>
    </row>
    <row r="17" customFormat="false" ht="15.65" hidden="false" customHeight="false" outlineLevel="0" collapsed="false">
      <c r="A17" s="3" t="s">
        <v>16</v>
      </c>
      <c r="B17" s="2" t="n">
        <f aca="false">51534804*14000</f>
        <v>721487256000</v>
      </c>
      <c r="C17" s="2" t="n">
        <f aca="false">52572382*14000</f>
        <v>736013348000</v>
      </c>
      <c r="D17" s="2" t="n">
        <f aca="false">45624235*14000</f>
        <v>638739290000</v>
      </c>
      <c r="E17" s="2" t="n">
        <f aca="false">-27795514*14000</f>
        <v>-389137196000</v>
      </c>
    </row>
    <row r="18" customFormat="false" ht="15.65" hidden="false" customHeight="false" outlineLevel="0" collapsed="false">
      <c r="A18" s="3" t="s">
        <v>17</v>
      </c>
      <c r="B18" s="2" t="n">
        <f aca="false">-1248378*14000</f>
        <v>-17477292000</v>
      </c>
      <c r="C18" s="2" t="n">
        <f aca="false">-767635*14000</f>
        <v>-10746890000</v>
      </c>
      <c r="D18" s="2" t="n">
        <f aca="false">-3395461*14000</f>
        <v>-47536454000</v>
      </c>
      <c r="E18" s="2" t="n">
        <f aca="false">-1527249*14000</f>
        <v>-21381486000</v>
      </c>
    </row>
    <row r="19" customFormat="false" ht="15.65" hidden="false" customHeight="false" outlineLevel="0" collapsed="false">
      <c r="A19" s="3" t="s">
        <v>18</v>
      </c>
      <c r="B19" s="2" t="n">
        <f aca="false">-69628788*14000</f>
        <v>-974803032000</v>
      </c>
      <c r="C19" s="2" t="n">
        <f aca="false">-33999518*14000</f>
        <v>-475993252000</v>
      </c>
      <c r="D19" s="2" t="n">
        <f aca="false">-71884194*14000</f>
        <v>-1006378716000</v>
      </c>
      <c r="E19" s="2" t="n">
        <f aca="false">17389120*14000</f>
        <v>243447680000</v>
      </c>
    </row>
  </sheetData>
  <conditionalFormatting sqref="A1:A19">
    <cfRule type="containsText" priority="2" operator="containsText" aboveAverage="0" equalAverage="0" bottom="0" percent="0" rank="0" text="-" dxfId="10">
      <formula>NOT(ISERROR(SEARCH("-",A1)))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33"/>
  <sheetViews>
    <sheetView showFormulas="false" showGridLines="true" showRowColHeaders="true" showZeros="true" rightToLeft="false" tabSelected="false" showOutlineSymbols="true" defaultGridColor="true" view="normal" topLeftCell="A2" colorId="64" zoomScale="100" zoomScaleNormal="100" zoomScalePageLayoutView="100" workbookViewId="0">
      <selection pane="topLeft" activeCell="B4" activeCellId="1" sqref="F5 B4"/>
    </sheetView>
  </sheetViews>
  <sheetFormatPr defaultColWidth="11.625" defaultRowHeight="12.75" zeroHeight="false" outlineLevelRow="0" outlineLevelCol="0"/>
  <cols>
    <col collapsed="false" customWidth="true" hidden="false" outlineLevel="0" max="1" min="1" style="0" width="24.41"/>
    <col collapsed="false" customWidth="true" hidden="false" outlineLevel="0" max="2" min="2" style="0" width="21.43"/>
    <col collapsed="false" customWidth="true" hidden="false" outlineLevel="0" max="3" min="3" style="0" width="25.14"/>
    <col collapsed="false" customWidth="true" hidden="false" outlineLevel="0" max="4" min="4" style="0" width="20.57"/>
    <col collapsed="false" customWidth="true" hidden="false" outlineLevel="0" max="5" min="5" style="0" width="26"/>
    <col collapsed="false" customWidth="true" hidden="false" outlineLevel="0" max="6" min="6" style="0" width="25.14"/>
  </cols>
  <sheetData>
    <row r="1" customFormat="false" ht="15.75" hidden="false" customHeight="false" outlineLevel="0" collapsed="false">
      <c r="A1" s="1" t="s">
        <v>0</v>
      </c>
      <c r="B1" s="0" t="s">
        <v>19</v>
      </c>
      <c r="C1" s="0" t="s">
        <v>19</v>
      </c>
      <c r="D1" s="0" t="s">
        <v>19</v>
      </c>
      <c r="E1" s="0" t="s">
        <v>19</v>
      </c>
      <c r="F1" s="0" t="s">
        <v>19</v>
      </c>
    </row>
    <row r="2" customFormat="false" ht="15.75" hidden="false" customHeight="false" outlineLevel="0" collapsed="false">
      <c r="A2" s="1" t="s">
        <v>3</v>
      </c>
      <c r="B2" s="0" t="n">
        <v>2022</v>
      </c>
      <c r="C2" s="0" t="n">
        <v>2021</v>
      </c>
      <c r="D2" s="0" t="n">
        <v>2020</v>
      </c>
      <c r="E2" s="0" t="n">
        <v>2019</v>
      </c>
      <c r="F2" s="0" t="n">
        <v>2018</v>
      </c>
    </row>
    <row r="3" customFormat="false" ht="15.75" hidden="false" customHeight="false" outlineLevel="0" collapsed="false">
      <c r="A3" s="3" t="s">
        <v>4</v>
      </c>
      <c r="B3" s="0" t="n">
        <v>460117587652</v>
      </c>
      <c r="C3" s="9" t="n">
        <v>602550379682</v>
      </c>
      <c r="D3" s="0" t="n">
        <v>435881790280</v>
      </c>
      <c r="E3" s="0" t="n">
        <v>348977786130</v>
      </c>
      <c r="F3" s="5" t="n">
        <v>192813271612</v>
      </c>
      <c r="G3" s="10"/>
      <c r="H3" s="10"/>
      <c r="I3" s="10"/>
    </row>
    <row r="4" customFormat="false" ht="15.75" hidden="false" customHeight="false" outlineLevel="0" collapsed="false">
      <c r="A4" s="3" t="s">
        <v>5</v>
      </c>
      <c r="B4" s="11" t="n">
        <f aca="false">41109741411+696157870971+15679752252</f>
        <v>752947364634</v>
      </c>
      <c r="C4" s="0" t="n">
        <f aca="false">35752013917+645746213801+953025114</f>
        <v>682451252832</v>
      </c>
      <c r="D4" s="0" t="n">
        <f aca="false">37334730323+577258937189+1413912149</f>
        <v>616007579661</v>
      </c>
      <c r="E4" s="0" t="n">
        <f aca="false">28044819399+494132691237+1686278206</f>
        <v>523863788842</v>
      </c>
      <c r="F4" s="5" t="n">
        <f aca="false">21962959354+480061330487+1821247242</f>
        <v>503845537083</v>
      </c>
      <c r="G4" s="10"/>
      <c r="H4" s="10"/>
      <c r="I4" s="10"/>
    </row>
    <row r="5" customFormat="false" ht="15.75" hidden="false" customHeight="false" outlineLevel="0" collapsed="false">
      <c r="A5" s="3" t="s">
        <v>6</v>
      </c>
      <c r="B5" s="0" t="n">
        <v>176461361446</v>
      </c>
      <c r="C5" s="0" t="n">
        <v>158724777219</v>
      </c>
      <c r="D5" s="0" t="n">
        <v>122126018084</v>
      </c>
      <c r="E5" s="0" t="n">
        <v>93726557117</v>
      </c>
      <c r="F5" s="5" t="n">
        <v>123729877593</v>
      </c>
      <c r="G5" s="10"/>
      <c r="H5" s="10"/>
      <c r="I5" s="10"/>
    </row>
    <row r="6" customFormat="false" ht="15.75" hidden="false" customHeight="false" outlineLevel="0" collapsed="false">
      <c r="A6" s="3" t="s">
        <v>7</v>
      </c>
      <c r="B6" s="0" t="n">
        <v>769639973409</v>
      </c>
      <c r="C6" s="0" t="n">
        <v>766149629601</v>
      </c>
      <c r="D6" s="0" t="n">
        <v>767222504498</v>
      </c>
      <c r="E6" s="0" t="n">
        <v>799758119934</v>
      </c>
      <c r="F6" s="5" t="n">
        <v>795547807911</v>
      </c>
      <c r="G6" s="10"/>
      <c r="H6" s="10"/>
      <c r="I6" s="10"/>
    </row>
    <row r="7" customFormat="false" ht="15.75" hidden="false" customHeight="false" outlineLevel="0" collapsed="false">
      <c r="A7" s="3" t="s">
        <v>8</v>
      </c>
      <c r="B7" s="0" t="n">
        <v>594899417076</v>
      </c>
      <c r="C7" s="0" t="n">
        <v>604446106477</v>
      </c>
      <c r="D7" s="0" t="n">
        <v>602572382597</v>
      </c>
      <c r="E7" s="0" t="n">
        <v>562004316020</v>
      </c>
      <c r="F7" s="5" t="n">
        <v>476647908156</v>
      </c>
      <c r="G7" s="10"/>
      <c r="H7" s="10"/>
      <c r="I7" s="10"/>
    </row>
    <row r="8" customFormat="false" ht="15.75" hidden="false" customHeight="false" outlineLevel="0" collapsed="false">
      <c r="A8" s="3" t="s">
        <v>9</v>
      </c>
      <c r="B8" s="0" t="n">
        <v>68541469088</v>
      </c>
      <c r="C8" s="0" t="n">
        <v>65907083849</v>
      </c>
      <c r="D8" s="0" t="n">
        <v>62829255200</v>
      </c>
      <c r="E8" s="0" t="n">
        <v>60350990723</v>
      </c>
      <c r="F8" s="5" t="n">
        <v>79661648470</v>
      </c>
      <c r="G8" s="10"/>
      <c r="H8" s="10"/>
      <c r="I8" s="10"/>
    </row>
    <row r="9" customFormat="false" ht="15.75" hidden="false" customHeight="false" outlineLevel="0" collapsed="false">
      <c r="A9" s="3" t="s">
        <v>10</v>
      </c>
      <c r="B9" s="0" t="n">
        <v>7340000000</v>
      </c>
      <c r="C9" s="0" t="n">
        <v>7340000000</v>
      </c>
      <c r="D9" s="0" t="n">
        <v>7340000000</v>
      </c>
      <c r="E9" s="0" t="n">
        <v>7340000000</v>
      </c>
      <c r="F9" s="0" t="n">
        <v>7340000000</v>
      </c>
      <c r="G9" s="12"/>
      <c r="H9" s="12"/>
      <c r="I9" s="12"/>
    </row>
    <row r="10" customFormat="false" ht="15.75" hidden="false" customHeight="false" outlineLevel="0" collapsed="false">
      <c r="A10" s="1" t="s">
        <v>0</v>
      </c>
      <c r="B10" s="0" t="s">
        <v>19</v>
      </c>
      <c r="C10" s="0" t="s">
        <v>19</v>
      </c>
      <c r="D10" s="0" t="s">
        <v>19</v>
      </c>
      <c r="E10" s="0" t="s">
        <v>19</v>
      </c>
      <c r="F10" s="0" t="s">
        <v>19</v>
      </c>
    </row>
    <row r="11" customFormat="false" ht="15.75" hidden="false" customHeight="false" outlineLevel="0" collapsed="false">
      <c r="A11" s="1" t="s">
        <v>3</v>
      </c>
      <c r="B11" s="0" t="n">
        <v>2022</v>
      </c>
      <c r="C11" s="0" t="n">
        <v>2021</v>
      </c>
      <c r="D11" s="0" t="n">
        <v>2020</v>
      </c>
      <c r="E11" s="0" t="n">
        <v>2019</v>
      </c>
      <c r="F11" s="13" t="n">
        <v>2018</v>
      </c>
    </row>
    <row r="12" customFormat="false" ht="15.75" hidden="false" customHeight="false" outlineLevel="0" collapsed="false">
      <c r="A12" s="3" t="s">
        <v>11</v>
      </c>
      <c r="B12" s="0" t="n">
        <v>1358072809102</v>
      </c>
      <c r="C12" s="0" t="n">
        <v>1246881552256</v>
      </c>
      <c r="D12" s="0" t="n">
        <v>2211743593136</v>
      </c>
      <c r="E12" s="0" t="n">
        <v>2151801131686</v>
      </c>
      <c r="F12" s="5" t="n">
        <v>1971478070171</v>
      </c>
      <c r="G12" s="10"/>
      <c r="H12" s="10"/>
      <c r="I12" s="10"/>
    </row>
    <row r="13" customFormat="false" ht="15.75" hidden="false" customHeight="false" outlineLevel="0" collapsed="false">
      <c r="A13" s="3" t="s">
        <v>12</v>
      </c>
      <c r="B13" s="0" t="n">
        <v>552994088309</v>
      </c>
      <c r="C13" s="0" t="n">
        <v>441023900297</v>
      </c>
      <c r="D13" s="0" t="n">
        <v>703007168785</v>
      </c>
      <c r="E13" s="0" t="n">
        <v>568659090420</v>
      </c>
      <c r="F13" s="0" t="n">
        <v>471898373820</v>
      </c>
      <c r="G13" s="10"/>
      <c r="H13" s="10"/>
      <c r="I13" s="10"/>
    </row>
    <row r="14" customFormat="false" ht="15.75" hidden="false" customHeight="false" outlineLevel="0" collapsed="false">
      <c r="A14" s="3" t="s">
        <v>13</v>
      </c>
      <c r="B14" s="0" t="n">
        <v>396682262673</v>
      </c>
      <c r="C14" s="0" t="n">
        <v>286476410055</v>
      </c>
      <c r="D14" s="0" t="n">
        <v>420626406830</v>
      </c>
      <c r="E14" s="0" t="n">
        <v>291607365374</v>
      </c>
      <c r="F14" s="5" t="n">
        <v>211729940176</v>
      </c>
      <c r="G14" s="10"/>
      <c r="H14" s="10"/>
      <c r="I14" s="10"/>
    </row>
    <row r="15" customFormat="false" ht="15.75" hidden="false" customHeight="false" outlineLevel="0" collapsed="false">
      <c r="A15" s="3" t="s">
        <v>14</v>
      </c>
      <c r="B15" s="0" t="n">
        <v>309094660525</v>
      </c>
      <c r="C15" s="0" t="n">
        <v>223343052708</v>
      </c>
      <c r="D15" s="0" t="n">
        <v>316587774083</v>
      </c>
      <c r="E15" s="0" t="n">
        <v>200335000295</v>
      </c>
      <c r="F15" s="5" t="n">
        <v>158891252212</v>
      </c>
      <c r="G15" s="10"/>
      <c r="H15" s="10"/>
      <c r="I15" s="10"/>
    </row>
    <row r="16" customFormat="false" ht="15.75" hidden="false" customHeight="false" outlineLevel="0" collapsed="false">
      <c r="A16" s="3" t="s">
        <v>15</v>
      </c>
      <c r="B16" s="0" t="n">
        <v>1302407603190</v>
      </c>
      <c r="C16" s="0" t="n">
        <v>1184655263458</v>
      </c>
      <c r="D16" s="0" t="n">
        <v>2118735999274</v>
      </c>
      <c r="E16" s="0" t="n">
        <v>2130228470309</v>
      </c>
      <c r="F16" s="5" t="n">
        <v>1996530362700</v>
      </c>
      <c r="G16" s="10"/>
      <c r="H16" s="10"/>
      <c r="I16" s="10"/>
    </row>
    <row r="17" customFormat="false" ht="15.75" hidden="false" customHeight="false" outlineLevel="0" collapsed="false">
      <c r="A17" s="3" t="s">
        <v>16</v>
      </c>
      <c r="B17" s="0" t="n">
        <v>221338695605</v>
      </c>
      <c r="C17" s="0" t="n">
        <v>252540691004</v>
      </c>
      <c r="D17" s="0" t="n">
        <v>419903184489</v>
      </c>
      <c r="E17" s="0" t="n">
        <v>368988791699</v>
      </c>
      <c r="F17" s="5" t="n">
        <v>356764910588</v>
      </c>
      <c r="G17" s="10"/>
      <c r="H17" s="10"/>
      <c r="I17" s="10"/>
    </row>
    <row r="18" customFormat="false" ht="15.75" hidden="false" customHeight="false" outlineLevel="0" collapsed="false">
      <c r="A18" s="3" t="s">
        <v>17</v>
      </c>
      <c r="B18" s="0" t="n">
        <v>-68077127336</v>
      </c>
      <c r="C18" s="0" t="n">
        <v>-32308824296</v>
      </c>
      <c r="D18" s="0" t="n">
        <v>-83874757351</v>
      </c>
      <c r="E18" s="0" t="n">
        <v>-43215091130</v>
      </c>
      <c r="F18" s="5" t="n">
        <v>-88869408356</v>
      </c>
      <c r="G18" s="10"/>
      <c r="H18" s="10"/>
      <c r="I18" s="10"/>
    </row>
    <row r="19" customFormat="false" ht="15.75" hidden="false" customHeight="false" outlineLevel="0" collapsed="false">
      <c r="A19" s="3" t="s">
        <v>18</v>
      </c>
      <c r="B19" s="0" t="n">
        <v>-295694360299</v>
      </c>
      <c r="C19" s="0" t="n">
        <v>-229710857865</v>
      </c>
      <c r="D19" s="0" t="n">
        <v>-249144357659</v>
      </c>
      <c r="E19" s="0" t="n">
        <v>-169495869418</v>
      </c>
      <c r="F19" s="5" t="n">
        <v>-134613286540</v>
      </c>
      <c r="G19" s="10"/>
      <c r="H19" s="10"/>
      <c r="I19" s="10"/>
    </row>
    <row r="33" customFormat="false" ht="12.75" hidden="false" customHeight="false" outlineLevel="0" collapsed="false">
      <c r="C33" s="11"/>
    </row>
  </sheetData>
  <conditionalFormatting sqref="A1:A19 F3:I8 G12:I19 F12 F14:F19">
    <cfRule type="containsText" priority="2" operator="containsText" aboveAverage="0" equalAverage="0" bottom="0" percent="0" rank="0" text="-" dxfId="2">
      <formula>NOT(ISERROR(SEARCH("-",A1)))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9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1" sqref="F5 A1"/>
    </sheetView>
  </sheetViews>
  <sheetFormatPr defaultColWidth="11.625" defaultRowHeight="12.75" zeroHeight="false" outlineLevelRow="0" outlineLevelCol="0"/>
  <cols>
    <col collapsed="false" customWidth="true" hidden="false" outlineLevel="0" max="1" min="1" style="0" width="19.71"/>
    <col collapsed="false" customWidth="true" hidden="false" outlineLevel="0" max="2" min="2" style="0" width="16"/>
    <col collapsed="false" customWidth="true" hidden="false" outlineLevel="0" max="3" min="3" style="0" width="16.71"/>
    <col collapsed="false" customWidth="true" hidden="false" outlineLevel="0" max="4" min="4" style="0" width="16.41"/>
    <col collapsed="false" customWidth="true" hidden="false" outlineLevel="0" max="5" min="5" style="0" width="15.88"/>
    <col collapsed="false" customWidth="true" hidden="false" outlineLevel="0" max="6" min="6" style="0" width="25.01"/>
  </cols>
  <sheetData>
    <row r="1" customFormat="false" ht="15.75" hidden="false" customHeight="false" outlineLevel="0" collapsed="false">
      <c r="A1" s="1" t="s">
        <v>0</v>
      </c>
      <c r="B1" s="2" t="s">
        <v>1</v>
      </c>
      <c r="C1" s="2" t="s">
        <v>1</v>
      </c>
      <c r="D1" s="2" t="s">
        <v>1</v>
      </c>
      <c r="E1" s="2" t="s">
        <v>1</v>
      </c>
      <c r="F1" s="2" t="s">
        <v>1</v>
      </c>
    </row>
    <row r="2" customFormat="false" ht="15.75" hidden="false" customHeight="false" outlineLevel="0" collapsed="false">
      <c r="A2" s="1" t="s">
        <v>3</v>
      </c>
      <c r="B2" s="2" t="n">
        <v>2022</v>
      </c>
      <c r="C2" s="2" t="n">
        <v>2021</v>
      </c>
      <c r="D2" s="2" t="n">
        <v>2020</v>
      </c>
      <c r="E2" s="2" t="n">
        <v>2019</v>
      </c>
      <c r="F2" s="2" t="n">
        <v>2018</v>
      </c>
    </row>
    <row r="3" customFormat="false" ht="15.75" hidden="false" customHeight="false" outlineLevel="0" collapsed="false">
      <c r="A3" s="3" t="s">
        <v>4</v>
      </c>
      <c r="B3" s="2" t="n">
        <v>113772585629</v>
      </c>
      <c r="C3" s="4" t="n">
        <v>87666978826</v>
      </c>
      <c r="D3" s="2" t="n">
        <v>69209954230</v>
      </c>
      <c r="E3" s="2" t="n">
        <v>48013824335</v>
      </c>
      <c r="F3" s="5" t="n">
        <v>50114289116</v>
      </c>
    </row>
    <row r="4" customFormat="false" ht="15.75" hidden="false" customHeight="false" outlineLevel="0" collapsed="false">
      <c r="A4" s="3" t="s">
        <v>5</v>
      </c>
      <c r="B4" s="7" t="n">
        <v>93128937118</v>
      </c>
      <c r="C4" s="2" t="n">
        <f aca="false">28263459753+30921202245+189815822</f>
        <v>59374477820</v>
      </c>
      <c r="D4" s="2" t="n">
        <f aca="false">43431437353+50831059375+281434730</f>
        <v>94543931458</v>
      </c>
      <c r="E4" s="2" t="n">
        <f aca="false">39472413580+60498269776+154121342</f>
        <v>100124804698</v>
      </c>
      <c r="F4" s="5" t="n">
        <f aca="false">6964826538+30955516180+4594423586</f>
        <v>42514766304</v>
      </c>
    </row>
    <row r="5" customFormat="false" ht="15.75" hidden="false" customHeight="false" outlineLevel="0" collapsed="false">
      <c r="A5" s="3" t="s">
        <v>6</v>
      </c>
      <c r="B5" s="2"/>
      <c r="C5" s="2"/>
      <c r="D5" s="2"/>
      <c r="E5" s="8"/>
      <c r="F5" s="5"/>
    </row>
    <row r="6" customFormat="false" ht="15.75" hidden="false" customHeight="false" outlineLevel="0" collapsed="false">
      <c r="A6" s="3" t="s">
        <v>7</v>
      </c>
      <c r="B6" s="2" t="n">
        <v>148618513429</v>
      </c>
      <c r="C6" s="2" t="n">
        <v>96061699364</v>
      </c>
      <c r="D6" s="2" t="n">
        <v>108153236174</v>
      </c>
      <c r="E6" s="8" t="n">
        <v>125895214924</v>
      </c>
      <c r="F6" s="5" t="n">
        <v>178440258908</v>
      </c>
    </row>
    <row r="7" customFormat="false" ht="15.75" hidden="false" customHeight="false" outlineLevel="0" collapsed="false">
      <c r="A7" s="3" t="s">
        <v>8</v>
      </c>
      <c r="B7" s="2" t="n">
        <v>103037393039</v>
      </c>
      <c r="C7" s="2" t="n">
        <v>83977625835</v>
      </c>
      <c r="D7" s="2" t="n">
        <v>114959432645</v>
      </c>
      <c r="E7" s="8" t="n">
        <v>99631561298</v>
      </c>
      <c r="F7" s="5" t="n">
        <v>65453742020</v>
      </c>
    </row>
    <row r="8" customFormat="false" ht="15.75" hidden="false" customHeight="false" outlineLevel="0" collapsed="false">
      <c r="A8" s="3" t="s">
        <v>9</v>
      </c>
      <c r="B8" s="2" t="n">
        <v>104156613596</v>
      </c>
      <c r="C8" s="2" t="n">
        <v>61284370702</v>
      </c>
      <c r="D8" s="2" t="n">
        <v>76810698000</v>
      </c>
      <c r="E8" s="8" t="n">
        <v>71574928448</v>
      </c>
      <c r="F8" s="5" t="n">
        <v>99746940033</v>
      </c>
    </row>
    <row r="9" customFormat="false" ht="15.75" hidden="false" customHeight="false" outlineLevel="0" collapsed="false">
      <c r="A9" s="3" t="s">
        <v>10</v>
      </c>
      <c r="B9" s="2" t="n">
        <v>720000000</v>
      </c>
      <c r="C9" s="2" t="n">
        <v>720000000</v>
      </c>
      <c r="D9" s="2" t="n">
        <v>720000000</v>
      </c>
      <c r="E9" s="2" t="n">
        <v>720000000</v>
      </c>
      <c r="F9" s="2" t="n">
        <v>720000000</v>
      </c>
    </row>
    <row r="10" customFormat="false" ht="15.75" hidden="false" customHeight="false" outlineLevel="0" collapsed="false">
      <c r="A10" s="1" t="s">
        <v>0</v>
      </c>
      <c r="B10" s="2" t="s">
        <v>1</v>
      </c>
      <c r="C10" s="2" t="s">
        <v>1</v>
      </c>
      <c r="D10" s="2" t="s">
        <v>1</v>
      </c>
      <c r="E10" s="2" t="s">
        <v>1</v>
      </c>
      <c r="F10" s="2" t="s">
        <v>1</v>
      </c>
    </row>
    <row r="11" customFormat="false" ht="15.75" hidden="false" customHeight="false" outlineLevel="0" collapsed="false">
      <c r="A11" s="1" t="s">
        <v>3</v>
      </c>
      <c r="B11" s="2" t="n">
        <v>2022</v>
      </c>
      <c r="C11" s="2" t="n">
        <v>2021</v>
      </c>
      <c r="D11" s="2" t="n">
        <v>2020</v>
      </c>
      <c r="E11" s="2" t="n">
        <v>2019</v>
      </c>
      <c r="F11" s="2" t="n">
        <v>2018</v>
      </c>
    </row>
    <row r="12" customFormat="false" ht="15.75" hidden="false" customHeight="false" outlineLevel="0" collapsed="false">
      <c r="A12" s="3" t="s">
        <v>11</v>
      </c>
      <c r="B12" s="2" t="n">
        <v>237293660304</v>
      </c>
      <c r="C12" s="2" t="n">
        <v>479636030718</v>
      </c>
      <c r="D12" s="2" t="n">
        <v>521617491481</v>
      </c>
      <c r="E12" s="8" t="n">
        <v>474271493696</v>
      </c>
      <c r="F12" s="5" t="n">
        <v>319106290160</v>
      </c>
    </row>
    <row r="13" customFormat="false" ht="15.75" hidden="false" customHeight="false" outlineLevel="0" collapsed="false">
      <c r="A13" s="3" t="s">
        <v>12</v>
      </c>
      <c r="B13" s="2" t="n">
        <v>42466719927</v>
      </c>
      <c r="C13" s="2" t="n">
        <v>88280189810</v>
      </c>
      <c r="D13" s="2" t="n">
        <v>56938428486</v>
      </c>
      <c r="E13" s="8" t="n">
        <v>79282385083</v>
      </c>
      <c r="F13" s="2" t="n">
        <v>67974028134</v>
      </c>
    </row>
    <row r="14" customFormat="false" ht="15.75" hidden="false" customHeight="false" outlineLevel="0" collapsed="false">
      <c r="A14" s="3" t="s">
        <v>13</v>
      </c>
      <c r="B14" s="2" t="n">
        <v>53760565118</v>
      </c>
      <c r="C14" s="2" t="n">
        <v>33356183267</v>
      </c>
      <c r="D14" s="2" t="n">
        <v>6342659779</v>
      </c>
      <c r="E14" s="8" t="n">
        <v>15565079038</v>
      </c>
      <c r="F14" s="2" t="n">
        <v>35781546542</v>
      </c>
    </row>
    <row r="15" customFormat="false" ht="15.75" hidden="false" customHeight="false" outlineLevel="0" collapsed="false">
      <c r="A15" s="3" t="s">
        <v>14</v>
      </c>
      <c r="B15" s="2" t="n">
        <v>43692587106</v>
      </c>
      <c r="C15" s="2" t="n">
        <v>24226913508</v>
      </c>
      <c r="D15" s="2" t="n">
        <v>3036178470</v>
      </c>
      <c r="E15" s="8" t="n">
        <v>4177237649</v>
      </c>
      <c r="F15" s="5" t="n">
        <v>26482339033</v>
      </c>
    </row>
    <row r="16" customFormat="false" ht="15.75" hidden="false" customHeight="false" outlineLevel="0" collapsed="false">
      <c r="A16" s="3" t="s">
        <v>15</v>
      </c>
      <c r="B16" s="2" t="n">
        <v>203491171354</v>
      </c>
      <c r="C16" s="2" t="n">
        <v>505061241290</v>
      </c>
      <c r="D16" s="2" t="n">
        <v>513934437857</v>
      </c>
      <c r="E16" s="8" t="n">
        <v>410453527002</v>
      </c>
      <c r="F16" s="5" t="n">
        <v>295942243425</v>
      </c>
    </row>
    <row r="17" customFormat="false" ht="15.75" hidden="false" customHeight="false" outlineLevel="0" collapsed="false">
      <c r="A17" s="3" t="s">
        <v>16</v>
      </c>
      <c r="B17" s="2" t="n">
        <v>54995008656</v>
      </c>
      <c r="C17" s="2" t="n">
        <v>41260471103</v>
      </c>
      <c r="D17" s="2" t="n">
        <v>32264752092</v>
      </c>
      <c r="E17" s="8" t="n">
        <v>40164454012</v>
      </c>
      <c r="F17" s="5" t="n">
        <v>27657403446</v>
      </c>
    </row>
    <row r="18" customFormat="false" ht="15.75" hidden="false" customHeight="false" outlineLevel="0" collapsed="false">
      <c r="A18" s="3" t="s">
        <v>17</v>
      </c>
      <c r="B18" s="2" t="n">
        <v>-15964039305</v>
      </c>
      <c r="C18" s="2" t="n">
        <v>-2653158804</v>
      </c>
      <c r="D18" s="2" t="n">
        <v>-3123309056</v>
      </c>
      <c r="E18" s="8" t="n">
        <v>-24393848230</v>
      </c>
      <c r="F18" s="5" t="n">
        <v>-109036903296</v>
      </c>
    </row>
    <row r="19" customFormat="false" ht="15.75" hidden="false" customHeight="false" outlineLevel="0" collapsed="false">
      <c r="A19" s="3" t="s">
        <v>18</v>
      </c>
      <c r="B19" s="2" t="n">
        <v>-12925362548</v>
      </c>
      <c r="C19" s="2" t="n">
        <v>-20150287703</v>
      </c>
      <c r="D19" s="2" t="n">
        <v>-7945313141</v>
      </c>
      <c r="E19" s="8" t="n">
        <v>-17871070563</v>
      </c>
      <c r="F19" s="5" t="n">
        <v>106182728748</v>
      </c>
    </row>
  </sheetData>
  <conditionalFormatting sqref="A1:A19 F3:F8 F12 F15:F19">
    <cfRule type="containsText" priority="2" operator="containsText" aboveAverage="0" equalAverage="0" bottom="0" percent="0" rank="0" text="-" dxfId="0">
      <formula>NOT(ISERROR(SEARCH("-",A1)))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F5 A1"/>
    </sheetView>
  </sheetViews>
  <sheetFormatPr defaultColWidth="8.70703125" defaultRowHeight="12.75" zeroHeight="false" outlineLevelRow="0" outlineLevelCol="0"/>
  <cols>
    <col collapsed="false" customWidth="true" hidden="false" outlineLevel="0" max="1" min="1" style="0" width="19.71"/>
    <col collapsed="false" customWidth="true" hidden="false" outlineLevel="0" max="5" min="2" style="0" width="13.14"/>
    <col collapsed="false" customWidth="true" hidden="false" outlineLevel="0" max="6" min="6" style="0" width="14.43"/>
  </cols>
  <sheetData>
    <row r="1" customFormat="false" ht="15.75" hidden="false" customHeight="false" outlineLevel="0" collapsed="false">
      <c r="A1" s="1" t="s">
        <v>0</v>
      </c>
      <c r="B1" s="2" t="s">
        <v>2</v>
      </c>
      <c r="C1" s="2" t="s">
        <v>2</v>
      </c>
      <c r="D1" s="2" t="s">
        <v>2</v>
      </c>
      <c r="E1" s="2" t="s">
        <v>2</v>
      </c>
      <c r="F1" s="2" t="s">
        <v>2</v>
      </c>
    </row>
    <row r="2" customFormat="false" ht="15.75" hidden="false" customHeight="false" outlineLevel="0" collapsed="false">
      <c r="A2" s="1" t="s">
        <v>3</v>
      </c>
      <c r="B2" s="2" t="n">
        <v>2022</v>
      </c>
      <c r="C2" s="2" t="n">
        <v>2021</v>
      </c>
      <c r="D2" s="2" t="n">
        <v>2020</v>
      </c>
      <c r="E2" s="2" t="n">
        <v>2019</v>
      </c>
      <c r="F2" s="2" t="n">
        <v>2018</v>
      </c>
    </row>
    <row r="3" customFormat="false" ht="15.75" hidden="false" customHeight="false" outlineLevel="0" collapsed="false">
      <c r="A3" s="3" t="s">
        <v>4</v>
      </c>
      <c r="B3" s="2" t="n">
        <f aca="false">12843*14000</f>
        <v>179802000</v>
      </c>
      <c r="C3" s="4" t="n">
        <f aca="false">2163*14000</f>
        <v>30282000</v>
      </c>
      <c r="D3" s="2" t="n">
        <f aca="false">506*14000</f>
        <v>7084000</v>
      </c>
      <c r="E3" s="2" t="n">
        <f aca="false">1356*14000</f>
        <v>18984000</v>
      </c>
      <c r="F3" s="5" t="n">
        <f aca="false">1550*14000</f>
        <v>21700000</v>
      </c>
    </row>
    <row r="4" customFormat="false" ht="15.75" hidden="false" customHeight="false" outlineLevel="0" collapsed="false">
      <c r="A4" s="3" t="s">
        <v>5</v>
      </c>
      <c r="B4" s="7" t="n">
        <f aca="false">(28459+8083+22810)*14000</f>
        <v>830928000</v>
      </c>
      <c r="C4" s="2" t="n">
        <f aca="false">(17535+453+23533)*14000</f>
        <v>581294000</v>
      </c>
      <c r="D4" s="2" t="n">
        <f aca="false">(3076+7383+18158)*14000</f>
        <v>400638000</v>
      </c>
      <c r="E4" s="2" t="n">
        <f aca="false">(11084+19098)*14000</f>
        <v>422548000</v>
      </c>
      <c r="F4" s="5" t="n">
        <f aca="false">(10923+21849)*14000</f>
        <v>458808000</v>
      </c>
    </row>
    <row r="5" customFormat="false" ht="15.75" hidden="false" customHeight="false" outlineLevel="0" collapsed="false">
      <c r="A5" s="3" t="s">
        <v>6</v>
      </c>
      <c r="B5" s="2" t="n">
        <f aca="false">10161*14000</f>
        <v>142254000</v>
      </c>
      <c r="C5" s="2" t="n">
        <f aca="false">6958*14000</f>
        <v>97412000</v>
      </c>
      <c r="D5" s="2" t="n">
        <f aca="false">4776*14000</f>
        <v>66864000</v>
      </c>
      <c r="E5" s="2" t="n">
        <f aca="false">6675*14000</f>
        <v>93450000</v>
      </c>
      <c r="F5" s="5" t="n">
        <f aca="false">6219*14000</f>
        <v>87066000</v>
      </c>
    </row>
    <row r="6" customFormat="false" ht="15.75" hidden="false" customHeight="false" outlineLevel="0" collapsed="false">
      <c r="A6" s="3" t="s">
        <v>7</v>
      </c>
      <c r="B6" s="2" t="n">
        <f aca="false">72478*14000</f>
        <v>1014692000</v>
      </c>
      <c r="C6" s="2" t="n">
        <f aca="false">74023*14000</f>
        <v>1036322000</v>
      </c>
      <c r="D6" s="2" t="n">
        <f aca="false">76070*14000</f>
        <v>1064980000</v>
      </c>
      <c r="E6" s="2" t="n">
        <f aca="false">75645*14000</f>
        <v>1059030000</v>
      </c>
      <c r="F6" s="5" t="n">
        <f aca="false">81364*14000</f>
        <v>1139096000</v>
      </c>
    </row>
    <row r="7" customFormat="false" ht="15.75" hidden="false" customHeight="false" outlineLevel="0" collapsed="false">
      <c r="A7" s="3" t="s">
        <v>8</v>
      </c>
      <c r="B7" s="2" t="n">
        <f aca="false">455897*14000</f>
        <v>6382558000</v>
      </c>
      <c r="C7" s="2" t="n">
        <f aca="false">169323*14000</f>
        <v>2370522000</v>
      </c>
      <c r="D7" s="2" t="n">
        <f aca="false">286093*14000</f>
        <v>4005302000</v>
      </c>
      <c r="E7" s="2" t="n">
        <f aca="false">260384*14000</f>
        <v>3645376000</v>
      </c>
      <c r="F7" s="5" t="n">
        <f aca="false">228514*14000</f>
        <v>3199196000</v>
      </c>
    </row>
    <row r="8" customFormat="false" ht="15.75" hidden="false" customHeight="false" outlineLevel="0" collapsed="false">
      <c r="A8" s="3" t="s">
        <v>9</v>
      </c>
      <c r="B8" s="2" t="n">
        <f aca="false">-159497*14000</f>
        <v>-2232958000</v>
      </c>
      <c r="C8" s="2" t="n">
        <f aca="false">161064*14000</f>
        <v>2254896000</v>
      </c>
      <c r="D8" s="2" t="n">
        <f aca="false">46495*14000</f>
        <v>650930000</v>
      </c>
      <c r="E8" s="2" t="n">
        <f aca="false">57510*14000</f>
        <v>805140000</v>
      </c>
      <c r="F8" s="5" t="n">
        <f aca="false">111565*14000</f>
        <v>1561910000</v>
      </c>
    </row>
    <row r="9" customFormat="false" ht="15.75" hidden="false" customHeight="false" outlineLevel="0" collapsed="false">
      <c r="A9" s="3" t="s">
        <v>10</v>
      </c>
      <c r="B9" s="2" t="n">
        <v>3131000000</v>
      </c>
      <c r="C9" s="2" t="n">
        <v>3131000000</v>
      </c>
      <c r="D9" s="2" t="n">
        <v>3131000000</v>
      </c>
      <c r="E9" s="2" t="n">
        <v>3131000000</v>
      </c>
      <c r="F9" s="2" t="n">
        <v>3131000000</v>
      </c>
    </row>
    <row r="10" customFormat="false" ht="15.75" hidden="false" customHeight="false" outlineLevel="0" collapsed="false">
      <c r="A10" s="1" t="s">
        <v>0</v>
      </c>
      <c r="B10" s="2" t="s">
        <v>2</v>
      </c>
      <c r="C10" s="2" t="s">
        <v>2</v>
      </c>
      <c r="D10" s="2" t="s">
        <v>2</v>
      </c>
      <c r="E10" s="2" t="s">
        <v>2</v>
      </c>
      <c r="F10" s="2" t="s">
        <v>2</v>
      </c>
    </row>
    <row r="11" customFormat="false" ht="15.75" hidden="false" customHeight="false" outlineLevel="0" collapsed="false">
      <c r="A11" s="1" t="s">
        <v>3</v>
      </c>
      <c r="B11" s="2" t="n">
        <v>2022</v>
      </c>
      <c r="C11" s="2" t="n">
        <v>2021</v>
      </c>
      <c r="D11" s="2" t="n">
        <v>2020</v>
      </c>
      <c r="E11" s="2" t="n">
        <v>2019</v>
      </c>
      <c r="F11" s="2" t="n">
        <v>2018</v>
      </c>
    </row>
    <row r="12" customFormat="false" ht="15.75" hidden="false" customHeight="false" outlineLevel="0" collapsed="false">
      <c r="A12" s="3" t="s">
        <v>11</v>
      </c>
      <c r="B12" s="2" t="n">
        <f aca="false">92176*14000</f>
        <v>1290464000</v>
      </c>
      <c r="C12" s="2" t="n">
        <f aca="false">115344*14000</f>
        <v>1614816000</v>
      </c>
      <c r="D12" s="2" t="n">
        <f aca="false">42160*14000</f>
        <v>590240000</v>
      </c>
      <c r="E12" s="2" t="n">
        <f aca="false">62803*14000</f>
        <v>879242000</v>
      </c>
      <c r="F12" s="5" t="n">
        <f aca="false">38161*14000</f>
        <v>534254000</v>
      </c>
    </row>
    <row r="13" customFormat="false" ht="15.75" hidden="false" customHeight="false" outlineLevel="0" collapsed="false">
      <c r="A13" s="3" t="s">
        <v>12</v>
      </c>
      <c r="B13" s="2" t="n">
        <f aca="false">27923*14000</f>
        <v>390922000</v>
      </c>
      <c r="C13" s="2" t="n">
        <f aca="false">21813*14000</f>
        <v>305382000</v>
      </c>
      <c r="D13" s="2" t="n">
        <f aca="false">-5313*14000</f>
        <v>-74382000</v>
      </c>
      <c r="E13" s="2" t="n">
        <f aca="false">41*14000</f>
        <v>574000</v>
      </c>
      <c r="F13" s="2" t="n">
        <f aca="false">2050*14000</f>
        <v>28700000</v>
      </c>
    </row>
    <row r="14" customFormat="false" ht="15.75" hidden="false" customHeight="false" outlineLevel="0" collapsed="false">
      <c r="A14" s="3" t="s">
        <v>13</v>
      </c>
      <c r="B14" s="2" t="n">
        <f aca="false">19923*14000</f>
        <v>278922000</v>
      </c>
      <c r="C14" s="2" t="n">
        <f aca="false">5385*14000</f>
        <v>75390000</v>
      </c>
      <c r="D14" s="2" t="n">
        <f aca="false">-17918*14000</f>
        <v>-250852000</v>
      </c>
      <c r="E14" s="2" t="n">
        <f aca="false">-5696*14000</f>
        <v>-79744000</v>
      </c>
      <c r="F14" s="5" t="n">
        <f aca="false">-28767*14000</f>
        <v>-402738000</v>
      </c>
    </row>
    <row r="15" customFormat="false" ht="15.75" hidden="false" customHeight="false" outlineLevel="0" collapsed="false">
      <c r="A15" s="3" t="s">
        <v>14</v>
      </c>
      <c r="B15" s="2" t="n">
        <f aca="false">17106*14000</f>
        <v>239484000</v>
      </c>
      <c r="C15" s="2" t="n">
        <f aca="false">918*14000</f>
        <v>12852000</v>
      </c>
      <c r="D15" s="2" t="n">
        <f aca="false">-16405*14000</f>
        <v>-229670000</v>
      </c>
      <c r="E15" s="2" t="n">
        <f aca="false">-5537*14000</f>
        <v>-77518000</v>
      </c>
      <c r="F15" s="5" t="n">
        <f aca="false">-28258*14000</f>
        <v>-395612000</v>
      </c>
    </row>
    <row r="16" customFormat="false" ht="15.75" hidden="false" customHeight="false" outlineLevel="0" collapsed="false">
      <c r="A16" s="3" t="s">
        <v>15</v>
      </c>
      <c r="B16" s="2" t="n">
        <f aca="false">73623*14000</f>
        <v>1030722000</v>
      </c>
      <c r="C16" s="2" t="n">
        <f aca="false">112029*14000</f>
        <v>1568406000</v>
      </c>
      <c r="D16" s="2" t="n">
        <f aca="false">45024*14000</f>
        <v>630336000</v>
      </c>
      <c r="E16" s="2" t="n">
        <f aca="false">62460*14000</f>
        <v>874440000</v>
      </c>
      <c r="F16" s="5" t="n">
        <f aca="false">34674*14000</f>
        <v>485436000</v>
      </c>
    </row>
    <row r="17" customFormat="false" ht="15.75" hidden="false" customHeight="false" outlineLevel="0" collapsed="false">
      <c r="A17" s="3" t="s">
        <v>16</v>
      </c>
      <c r="B17" s="2" t="n">
        <f aca="false">57510*14000</f>
        <v>805140000</v>
      </c>
      <c r="C17" s="2" t="n">
        <f aca="false">17787*14000</f>
        <v>249018000</v>
      </c>
      <c r="D17" s="2" t="n">
        <f aca="false">15925*14000</f>
        <v>222950000</v>
      </c>
      <c r="E17" s="2" t="n">
        <f aca="false">9939*14000</f>
        <v>139146000</v>
      </c>
      <c r="F17" s="5" t="n">
        <f aca="false">14168*14000</f>
        <v>198352000</v>
      </c>
    </row>
    <row r="18" customFormat="false" ht="15.75" hidden="false" customHeight="false" outlineLevel="0" collapsed="false">
      <c r="A18" s="3" t="s">
        <v>17</v>
      </c>
      <c r="B18" s="2" t="n">
        <f aca="false">49348*14000</f>
        <v>690872000</v>
      </c>
      <c r="C18" s="2" t="n">
        <f aca="false">-11124*14000</f>
        <v>-155736000</v>
      </c>
      <c r="D18" s="2" t="n">
        <f aca="false">-12506*14000</f>
        <v>-175084000</v>
      </c>
      <c r="E18" s="2" t="n">
        <f aca="false">-47779*14000</f>
        <v>-668906000</v>
      </c>
      <c r="F18" s="5" t="n">
        <f aca="false">-24982*14000</f>
        <v>-349748000</v>
      </c>
    </row>
    <row r="19" customFormat="false" ht="15.75" hidden="false" customHeight="false" outlineLevel="0" collapsed="false">
      <c r="A19" s="3" t="s">
        <v>18</v>
      </c>
      <c r="B19" s="2" t="n">
        <f aca="false">-95875*14000</f>
        <v>-1342250000</v>
      </c>
      <c r="C19" s="2" t="n">
        <f aca="false">-5001*14000</f>
        <v>-70014000</v>
      </c>
      <c r="D19" s="2" t="n">
        <f aca="false">-4263*14000</f>
        <v>-59682000</v>
      </c>
      <c r="E19" s="2" t="n">
        <f aca="false">37646*14000</f>
        <v>527044000</v>
      </c>
      <c r="F19" s="5" t="n">
        <f aca="false">7902*14000</f>
        <v>110628000</v>
      </c>
    </row>
  </sheetData>
  <conditionalFormatting sqref="A1:A19 F3:F8 F12 F14:F19">
    <cfRule type="containsText" priority="2" operator="containsText" aboveAverage="0" equalAverage="0" bottom="0" percent="0" rank="0" text="-" dxfId="1">
      <formula>NOT(ISERROR(SEARCH("-",A1)))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9" activeCellId="1" sqref="F5 B9"/>
    </sheetView>
  </sheetViews>
  <sheetFormatPr defaultColWidth="8.70703125" defaultRowHeight="12.75" zeroHeight="false" outlineLevelRow="0" outlineLevelCol="0"/>
  <cols>
    <col collapsed="false" customWidth="true" hidden="false" outlineLevel="0" max="1" min="1" style="0" width="19.71"/>
    <col collapsed="false" customWidth="true" hidden="false" outlineLevel="0" max="2" min="2" style="0" width="13.14"/>
    <col collapsed="false" customWidth="true" hidden="false" outlineLevel="0" max="3" min="3" style="0" width="19.04"/>
    <col collapsed="false" customWidth="true" hidden="false" outlineLevel="0" max="5" min="4" style="0" width="13.14"/>
    <col collapsed="false" customWidth="true" hidden="false" outlineLevel="0" max="6" min="6" style="0" width="26.39"/>
  </cols>
  <sheetData>
    <row r="1" customFormat="false" ht="15.75" hidden="false" customHeight="false" outlineLevel="0" collapsed="false">
      <c r="A1" s="1" t="s">
        <v>0</v>
      </c>
      <c r="B1" s="2" t="s">
        <v>20</v>
      </c>
      <c r="C1" s="2" t="s">
        <v>20</v>
      </c>
      <c r="D1" s="2" t="s">
        <v>20</v>
      </c>
      <c r="E1" s="2" t="s">
        <v>20</v>
      </c>
      <c r="F1" s="2" t="s">
        <v>20</v>
      </c>
    </row>
    <row r="2" customFormat="false" ht="15.75" hidden="false" customHeight="false" outlineLevel="0" collapsed="false">
      <c r="A2" s="1" t="s">
        <v>3</v>
      </c>
      <c r="B2" s="2" t="n">
        <v>2022</v>
      </c>
      <c r="C2" s="2" t="n">
        <v>2021</v>
      </c>
      <c r="D2" s="2" t="n">
        <v>2020</v>
      </c>
      <c r="E2" s="2" t="n">
        <v>2019</v>
      </c>
      <c r="F2" s="2" t="n">
        <v>2018</v>
      </c>
    </row>
    <row r="3" customFormat="false" ht="15.75" hidden="false" customHeight="false" outlineLevel="0" collapsed="false">
      <c r="A3" s="3" t="s">
        <v>4</v>
      </c>
      <c r="B3" s="2" t="n">
        <v>377166862770</v>
      </c>
      <c r="C3" s="4" t="n">
        <v>360662679743</v>
      </c>
      <c r="D3" s="2" t="n">
        <v>348026902985</v>
      </c>
      <c r="E3" s="2" t="n">
        <v>161870307059</v>
      </c>
      <c r="F3" s="5" t="n">
        <v>109698978060</v>
      </c>
    </row>
    <row r="4" customFormat="false" ht="15.75" hidden="false" customHeight="false" outlineLevel="0" collapsed="false">
      <c r="A4" s="3" t="s">
        <v>5</v>
      </c>
      <c r="B4" s="7" t="n">
        <f aca="false">79715259002+263175947+287527761</f>
        <v>80265962710</v>
      </c>
      <c r="C4" s="2" t="n">
        <f aca="false">83071117010+684677718+254139325</f>
        <v>84009934053</v>
      </c>
      <c r="D4" s="2" t="n">
        <f aca="false">87196198463+581104437+986432198</f>
        <v>88763735098</v>
      </c>
      <c r="E4" s="2" t="n">
        <f aca="false">102774971158+648063130+539832921</f>
        <v>103962867209</v>
      </c>
      <c r="F4" s="5" t="n">
        <f aca="false">103475087830+767971462+955593457</f>
        <v>105198652749</v>
      </c>
    </row>
    <row r="5" customFormat="false" ht="15.75" hidden="false" customHeight="false" outlineLevel="0" collapsed="false">
      <c r="A5" s="3" t="s">
        <v>6</v>
      </c>
      <c r="B5" s="2" t="n">
        <v>171997086627</v>
      </c>
      <c r="C5" s="2" t="n">
        <v>168288992651</v>
      </c>
      <c r="D5" s="2" t="n">
        <v>86409350807</v>
      </c>
      <c r="E5" s="8" t="n">
        <v>183512819602</v>
      </c>
      <c r="F5" s="5" t="n">
        <v>213627724812</v>
      </c>
    </row>
    <row r="6" customFormat="false" ht="15.75" hidden="false" customHeight="false" outlineLevel="0" collapsed="false">
      <c r="A6" s="3" t="s">
        <v>7</v>
      </c>
      <c r="B6" s="2" t="n">
        <v>457961871138</v>
      </c>
      <c r="C6" s="2" t="n">
        <v>459573571345</v>
      </c>
      <c r="D6" s="2" t="n">
        <v>474173694707</v>
      </c>
      <c r="E6" s="8" t="n">
        <v>455499161587</v>
      </c>
      <c r="F6" s="5" t="n">
        <v>371559780027</v>
      </c>
    </row>
    <row r="7" customFormat="false" ht="15.75" hidden="false" customHeight="false" outlineLevel="0" collapsed="false">
      <c r="A7" s="3" t="s">
        <v>8</v>
      </c>
      <c r="B7" s="2" t="n">
        <v>65349467353</v>
      </c>
      <c r="C7" s="2" t="n">
        <v>82981081779</v>
      </c>
      <c r="D7" s="2" t="n">
        <v>68166758308</v>
      </c>
      <c r="E7" s="8" t="n">
        <v>70337529585</v>
      </c>
      <c r="F7" s="5" t="n">
        <v>91381683504</v>
      </c>
    </row>
    <row r="8" customFormat="false" ht="15.75" hidden="false" customHeight="false" outlineLevel="0" collapsed="false">
      <c r="A8" s="3" t="s">
        <v>9</v>
      </c>
      <c r="B8" s="2" t="n">
        <v>51159943674</v>
      </c>
      <c r="C8" s="2" t="n">
        <v>52184217420</v>
      </c>
      <c r="D8" s="2" t="n">
        <v>61450504416</v>
      </c>
      <c r="E8" s="8" t="n">
        <v>45353269158</v>
      </c>
      <c r="F8" s="5" t="n">
        <v>37303269649</v>
      </c>
    </row>
    <row r="9" customFormat="false" ht="15.75" hidden="false" customHeight="false" outlineLevel="0" collapsed="false">
      <c r="A9" s="3" t="s">
        <v>10</v>
      </c>
      <c r="B9" s="2" t="n">
        <v>3493875000</v>
      </c>
      <c r="C9" s="2" t="n">
        <v>3493875000</v>
      </c>
      <c r="D9" s="2" t="n">
        <v>3493875000</v>
      </c>
      <c r="E9" s="2" t="n">
        <v>3493875000</v>
      </c>
      <c r="F9" s="2" t="n">
        <v>3493875000</v>
      </c>
    </row>
    <row r="10" customFormat="false" ht="15.75" hidden="false" customHeight="false" outlineLevel="0" collapsed="false">
      <c r="A10" s="1" t="s">
        <v>0</v>
      </c>
      <c r="B10" s="2" t="s">
        <v>20</v>
      </c>
      <c r="C10" s="2" t="s">
        <v>20</v>
      </c>
      <c r="D10" s="2" t="s">
        <v>20</v>
      </c>
      <c r="E10" s="2" t="s">
        <v>20</v>
      </c>
      <c r="F10" s="2" t="s">
        <v>20</v>
      </c>
    </row>
    <row r="11" customFormat="false" ht="15.75" hidden="false" customHeight="false" outlineLevel="0" collapsed="false">
      <c r="A11" s="1" t="s">
        <v>3</v>
      </c>
      <c r="B11" s="2" t="n">
        <v>2022</v>
      </c>
      <c r="C11" s="2" t="n">
        <v>2021</v>
      </c>
      <c r="D11" s="2" t="n">
        <v>2020</v>
      </c>
      <c r="E11" s="2" t="n">
        <v>2019</v>
      </c>
      <c r="F11" s="2" t="n">
        <v>2018</v>
      </c>
    </row>
    <row r="12" customFormat="false" ht="15.75" hidden="false" customHeight="false" outlineLevel="0" collapsed="false">
      <c r="A12" s="3" t="s">
        <v>11</v>
      </c>
      <c r="B12" s="2" t="n">
        <v>311713270788</v>
      </c>
      <c r="C12" s="2" t="n">
        <v>629879334779</v>
      </c>
      <c r="D12" s="2" t="n">
        <v>671540878728</v>
      </c>
      <c r="E12" s="8" t="n">
        <v>758299364555</v>
      </c>
      <c r="F12" s="5" t="n">
        <v>739578860399</v>
      </c>
    </row>
    <row r="13" customFormat="false" ht="15.75" hidden="false" customHeight="false" outlineLevel="0" collapsed="false">
      <c r="A13" s="3" t="s">
        <v>12</v>
      </c>
      <c r="B13" s="2" t="n">
        <v>101195667474</v>
      </c>
      <c r="C13" s="2" t="n">
        <v>224642195506</v>
      </c>
      <c r="D13" s="2" t="n">
        <v>225017511377</v>
      </c>
      <c r="E13" s="8" t="n">
        <v>222160891727</v>
      </c>
      <c r="F13" s="2" t="n">
        <v>202755919079</v>
      </c>
    </row>
    <row r="14" customFormat="false" ht="15.75" hidden="false" customHeight="false" outlineLevel="0" collapsed="false">
      <c r="A14" s="3" t="s">
        <v>13</v>
      </c>
      <c r="B14" s="2" t="n">
        <v>57910831992</v>
      </c>
      <c r="C14" s="2" t="n">
        <v>137720156180</v>
      </c>
      <c r="D14" s="2" t="n">
        <v>123522654770</v>
      </c>
      <c r="E14" s="8" t="n">
        <v>111834501956</v>
      </c>
      <c r="F14" s="5" t="n">
        <v>101455415901</v>
      </c>
    </row>
    <row r="15" customFormat="false" ht="15.75" hidden="false" customHeight="false" outlineLevel="0" collapsed="false">
      <c r="A15" s="3" t="s">
        <v>14</v>
      </c>
      <c r="B15" s="2" t="n">
        <v>47530621174</v>
      </c>
      <c r="C15" s="2" t="n">
        <v>108490477354</v>
      </c>
      <c r="D15" s="2" t="n">
        <v>95929070814</v>
      </c>
      <c r="E15" s="8" t="n">
        <v>77402572552</v>
      </c>
      <c r="F15" s="5" t="n">
        <v>74045187763</v>
      </c>
    </row>
    <row r="16" customFormat="false" ht="15.75" hidden="false" customHeight="false" outlineLevel="0" collapsed="false">
      <c r="A16" s="3" t="s">
        <v>15</v>
      </c>
      <c r="B16" s="2" t="n">
        <v>315490630567</v>
      </c>
      <c r="C16" s="2" t="n">
        <v>634103508156</v>
      </c>
      <c r="D16" s="2" t="n">
        <v>688439797530</v>
      </c>
      <c r="E16" s="8" t="n">
        <v>759039346016</v>
      </c>
      <c r="F16" s="5" t="n">
        <v>726337673245</v>
      </c>
    </row>
    <row r="17" customFormat="false" ht="15.75" hidden="false" customHeight="false" outlineLevel="0" collapsed="false">
      <c r="A17" s="3" t="s">
        <v>16</v>
      </c>
      <c r="B17" s="2" t="n">
        <v>36171206378</v>
      </c>
      <c r="C17" s="2" t="n">
        <v>45430315257</v>
      </c>
      <c r="D17" s="2" t="n">
        <v>231776954118</v>
      </c>
      <c r="E17" s="8" t="n">
        <v>115559223533</v>
      </c>
      <c r="F17" s="5" t="n">
        <v>57726147295</v>
      </c>
    </row>
    <row r="18" customFormat="false" ht="15.75" hidden="false" customHeight="false" outlineLevel="0" collapsed="false">
      <c r="A18" s="3" t="s">
        <v>17</v>
      </c>
      <c r="B18" s="2" t="n">
        <v>-11768910428</v>
      </c>
      <c r="C18" s="2" t="n">
        <v>-13779991336</v>
      </c>
      <c r="D18" s="2" t="n">
        <v>-10999195998</v>
      </c>
      <c r="E18" s="8" t="n">
        <v>-30100812965</v>
      </c>
      <c r="F18" s="5" t="n">
        <v>-41932299066</v>
      </c>
    </row>
    <row r="19" customFormat="false" ht="15.75" hidden="false" customHeight="false" outlineLevel="0" collapsed="false">
      <c r="A19" s="3" t="s">
        <v>18</v>
      </c>
      <c r="B19" s="2" t="n">
        <v>-8153544732</v>
      </c>
      <c r="C19" s="2" t="n">
        <v>-19101256952</v>
      </c>
      <c r="D19" s="2" t="n">
        <v>-34974810716</v>
      </c>
      <c r="E19" s="8" t="n">
        <v>-32801582199</v>
      </c>
      <c r="F19" s="5" t="n">
        <v>-18995203181</v>
      </c>
    </row>
  </sheetData>
  <conditionalFormatting sqref="A1:A19 F3:F8 F12 F14:F19">
    <cfRule type="containsText" priority="2" operator="containsText" aboveAverage="0" equalAverage="0" bottom="0" percent="0" rank="0" text="-" dxfId="3">
      <formula>NOT(ISERROR(SEARCH("-",A1)))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5" activeCellId="1" sqref="F5 E5"/>
    </sheetView>
  </sheetViews>
  <sheetFormatPr defaultColWidth="8.70703125" defaultRowHeight="12.75" zeroHeight="false" outlineLevelRow="0" outlineLevelCol="0"/>
  <cols>
    <col collapsed="false" customWidth="true" hidden="false" outlineLevel="0" max="1" min="1" style="0" width="19.71"/>
    <col collapsed="false" customWidth="true" hidden="false" outlineLevel="0" max="5" min="2" style="0" width="13.14"/>
    <col collapsed="false" customWidth="true" hidden="false" outlineLevel="0" max="6" min="6" style="0" width="14.43"/>
  </cols>
  <sheetData>
    <row r="1" customFormat="false" ht="15.75" hidden="false" customHeight="false" outlineLevel="0" collapsed="false">
      <c r="A1" s="1" t="s">
        <v>0</v>
      </c>
      <c r="B1" s="2" t="s">
        <v>21</v>
      </c>
      <c r="C1" s="2" t="s">
        <v>21</v>
      </c>
      <c r="D1" s="2" t="s">
        <v>21</v>
      </c>
      <c r="E1" s="2" t="s">
        <v>21</v>
      </c>
      <c r="F1" s="2" t="s">
        <v>21</v>
      </c>
    </row>
    <row r="2" customFormat="false" ht="15.75" hidden="false" customHeight="false" outlineLevel="0" collapsed="false">
      <c r="A2" s="1" t="s">
        <v>3</v>
      </c>
      <c r="B2" s="2" t="n">
        <v>2022</v>
      </c>
      <c r="C2" s="2" t="n">
        <v>2021</v>
      </c>
      <c r="D2" s="2" t="n">
        <v>2020</v>
      </c>
      <c r="E2" s="2" t="n">
        <v>2019</v>
      </c>
      <c r="F2" s="2" t="n">
        <v>2018</v>
      </c>
    </row>
    <row r="3" customFormat="false" ht="15.75" hidden="false" customHeight="false" outlineLevel="0" collapsed="false">
      <c r="A3" s="3" t="s">
        <v>4</v>
      </c>
      <c r="B3" s="2" t="n">
        <f aca="false">52869418*14000</f>
        <v>740171852000</v>
      </c>
      <c r="C3" s="4" t="n">
        <f aca="false">51058259*14000</f>
        <v>714815626000</v>
      </c>
      <c r="D3" s="2" t="n">
        <f aca="false">36701114*14000</f>
        <v>513815596000</v>
      </c>
      <c r="E3" s="2" t="n">
        <f aca="false">19152935*14000</f>
        <v>268141090000</v>
      </c>
      <c r="F3" s="5" t="n">
        <f aca="false">35560700*14000</f>
        <v>497849800000</v>
      </c>
    </row>
    <row r="4" customFormat="false" ht="15.75" hidden="false" customHeight="false" outlineLevel="0" collapsed="false">
      <c r="A4" s="3" t="s">
        <v>5</v>
      </c>
      <c r="B4" s="7" t="n">
        <f aca="false">(88891006+4914595+480441+9034)*14000</f>
        <v>1320131064000</v>
      </c>
      <c r="C4" s="2" t="n">
        <f aca="false">(107653006+6088481+1629773+9451)*14000</f>
        <v>1615329954000</v>
      </c>
      <c r="D4" s="2" t="n">
        <f aca="false">(75955201+1733526+992283+19489)*14000</f>
        <v>1101806986000</v>
      </c>
      <c r="E4" s="2" t="n">
        <f aca="false">(73809119+1460758+2044418+9291)*14000</f>
        <v>1082530204000</v>
      </c>
      <c r="F4" s="5" t="n">
        <f aca="false">(9090+1367345+95259329+9646002)*14000</f>
        <v>1487944724000</v>
      </c>
    </row>
    <row r="5" customFormat="false" ht="15.75" hidden="false" customHeight="false" outlineLevel="0" collapsed="false">
      <c r="A5" s="3" t="s">
        <v>6</v>
      </c>
      <c r="B5" s="2" t="n">
        <f aca="false">241529642*14000</f>
        <v>3381414988000</v>
      </c>
      <c r="C5" s="2" t="n">
        <f aca="false">177498959*14000</f>
        <v>2484985426000</v>
      </c>
      <c r="D5" s="2" t="n">
        <f aca="false">138996375*14000</f>
        <v>1945949250000</v>
      </c>
      <c r="E5" s="2" t="n">
        <f aca="false">147221168*14000</f>
        <v>2061096352000</v>
      </c>
      <c r="F5" s="5" t="n">
        <f aca="false">159869166*14000</f>
        <v>2238168324000</v>
      </c>
    </row>
    <row r="6" customFormat="false" ht="15.75" hidden="false" customHeight="false" outlineLevel="0" collapsed="false">
      <c r="A6" s="3" t="s">
        <v>7</v>
      </c>
      <c r="B6" s="2" t="n">
        <f aca="false">473654420*14000</f>
        <v>6631161880000</v>
      </c>
      <c r="C6" s="2" t="n">
        <f aca="false">479117986*14000</f>
        <v>6707651804000</v>
      </c>
      <c r="D6" s="2" t="n">
        <f aca="false">470504688*14000</f>
        <v>6587065632000</v>
      </c>
      <c r="E6" s="2" t="n">
        <f aca="false">479035606*14000</f>
        <v>6706498484000</v>
      </c>
      <c r="F6" s="5" t="n">
        <f aca="false">454075397*14000</f>
        <v>6357055558000</v>
      </c>
    </row>
    <row r="7" customFormat="false" ht="15.75" hidden="false" customHeight="false" outlineLevel="0" collapsed="false">
      <c r="A7" s="3" t="s">
        <v>8</v>
      </c>
      <c r="B7" s="2" t="n">
        <f aca="false">338923483*14000</f>
        <v>4744928762000</v>
      </c>
      <c r="C7" s="2" t="n">
        <f aca="false">321910760*14000</f>
        <v>4506750640000</v>
      </c>
      <c r="D7" s="2" t="n">
        <f aca="false">259074281*14000</f>
        <v>3627039934000</v>
      </c>
      <c r="E7" s="2" t="n">
        <f aca="false">258297930*14000</f>
        <v>3616171020000</v>
      </c>
      <c r="F7" s="5" t="n">
        <f aca="false">307779232*14000</f>
        <v>4308909248000</v>
      </c>
    </row>
    <row r="8" customFormat="false" ht="15.75" hidden="false" customHeight="false" outlineLevel="0" collapsed="false">
      <c r="A8" s="3" t="s">
        <v>9</v>
      </c>
      <c r="B8" s="2" t="n">
        <f aca="false">112535538*14000</f>
        <v>1575497532000</v>
      </c>
      <c r="C8" s="2" t="n">
        <f aca="false">119733828*14000</f>
        <v>1676273592000</v>
      </c>
      <c r="D8" s="2" t="n">
        <f aca="false">128303939*14000</f>
        <v>1796255146000</v>
      </c>
      <c r="E8" s="2" t="n">
        <f aca="false">123831325*14000</f>
        <v>1733638550000</v>
      </c>
      <c r="F8" s="5" t="n">
        <f aca="false">152732154*14000</f>
        <v>2138250156000</v>
      </c>
    </row>
    <row r="9" customFormat="false" ht="15.75" hidden="false" customHeight="false" outlineLevel="0" collapsed="false">
      <c r="A9" s="3" t="s">
        <v>10</v>
      </c>
      <c r="B9" s="2" t="n">
        <v>654351707</v>
      </c>
      <c r="C9" s="2" t="n">
        <v>654351707</v>
      </c>
      <c r="D9" s="2" t="n">
        <v>654351707</v>
      </c>
      <c r="E9" s="2" t="n">
        <v>654351707</v>
      </c>
      <c r="F9" s="2" t="n">
        <v>654351707</v>
      </c>
    </row>
    <row r="10" customFormat="false" ht="15.75" hidden="false" customHeight="false" outlineLevel="0" collapsed="false">
      <c r="A10" s="1" t="s">
        <v>0</v>
      </c>
      <c r="B10" s="2" t="s">
        <v>21</v>
      </c>
      <c r="C10" s="2" t="s">
        <v>21</v>
      </c>
      <c r="D10" s="2" t="s">
        <v>21</v>
      </c>
      <c r="E10" s="2" t="s">
        <v>21</v>
      </c>
      <c r="F10" s="2" t="s">
        <v>21</v>
      </c>
    </row>
    <row r="11" customFormat="false" ht="15.75" hidden="false" customHeight="false" outlineLevel="0" collapsed="false">
      <c r="A11" s="1" t="s">
        <v>3</v>
      </c>
      <c r="B11" s="2" t="n">
        <v>2022</v>
      </c>
      <c r="C11" s="2" t="n">
        <v>2021</v>
      </c>
      <c r="D11" s="2" t="n">
        <v>2020</v>
      </c>
      <c r="E11" s="2" t="n">
        <v>2019</v>
      </c>
      <c r="F11" s="2" t="n">
        <v>2018</v>
      </c>
    </row>
    <row r="12" customFormat="false" ht="15.75" hidden="false" customHeight="false" outlineLevel="0" collapsed="false">
      <c r="A12" s="3" t="s">
        <v>11</v>
      </c>
      <c r="B12" s="2" t="n">
        <f aca="false">515299551*14000</f>
        <v>7214193714000</v>
      </c>
      <c r="C12" s="2" t="n">
        <f aca="false">884101773*14000</f>
        <v>12377424822000</v>
      </c>
      <c r="D12" s="2" t="n">
        <f aca="false">589041983*14000</f>
        <v>8246587762000</v>
      </c>
      <c r="E12" s="2" t="n">
        <f aca="false">767749494*14000</f>
        <v>10748492916000</v>
      </c>
      <c r="F12" s="5" t="n">
        <f aca="false">839454360*14000</f>
        <v>11752361040000</v>
      </c>
    </row>
    <row r="13" customFormat="false" ht="15.75" hidden="false" customHeight="false" outlineLevel="0" collapsed="false">
      <c r="A13" s="3" t="s">
        <v>12</v>
      </c>
      <c r="B13" s="2" t="n">
        <f aca="false">76759513*14000</f>
        <v>1074633182000</v>
      </c>
      <c r="C13" s="2" t="n">
        <f aca="false">129771245*14000</f>
        <v>1816797430000</v>
      </c>
      <c r="D13" s="2" t="n">
        <f aca="false">31834443*14000</f>
        <v>445682202000</v>
      </c>
      <c r="E13" s="2" t="n">
        <f aca="false">44344129*14000</f>
        <v>620817806000</v>
      </c>
      <c r="F13" s="2" t="n">
        <f aca="false">70972352*14000</f>
        <v>993612928000</v>
      </c>
    </row>
    <row r="14" customFormat="false" ht="15.75" hidden="false" customHeight="false" outlineLevel="0" collapsed="false">
      <c r="A14" s="3" t="s">
        <v>13</v>
      </c>
      <c r="B14" s="2" t="n">
        <f aca="false">65297795*14000</f>
        <v>914169130000</v>
      </c>
      <c r="C14" s="2" t="n">
        <f aca="false">100878973*14000</f>
        <v>1412305622000</v>
      </c>
      <c r="D14" s="2" t="n">
        <f aca="false">6825435*14000</f>
        <v>95556090000</v>
      </c>
      <c r="E14" s="2" t="n">
        <f aca="false">42633660*14000</f>
        <v>596871240000</v>
      </c>
      <c r="F14" s="5" t="n">
        <f aca="false">71343143*14000</f>
        <v>998804002000</v>
      </c>
    </row>
    <row r="15" customFormat="false" ht="15.75" hidden="false" customHeight="false" outlineLevel="0" collapsed="false">
      <c r="A15" s="3" t="s">
        <v>14</v>
      </c>
      <c r="B15" s="2" t="n">
        <f aca="false">54002282*14000</f>
        <v>756031948000</v>
      </c>
      <c r="C15" s="2" t="n">
        <f aca="false">84568285*14000</f>
        <v>1183955990000</v>
      </c>
      <c r="D15" s="2" t="n">
        <f aca="false">6231992*14000</f>
        <v>87247888000</v>
      </c>
      <c r="E15" s="2" t="n">
        <f aca="false">41626269*14000</f>
        <v>582767766000</v>
      </c>
      <c r="F15" s="5" t="n">
        <f aca="false">62367343*14000</f>
        <v>873142802000</v>
      </c>
    </row>
    <row r="16" customFormat="false" ht="15.75" hidden="false" customHeight="false" outlineLevel="0" collapsed="false">
      <c r="A16" s="3" t="s">
        <v>15</v>
      </c>
      <c r="B16" s="2" t="n">
        <f aca="false">518821777*14000</f>
        <v>7263504878000</v>
      </c>
      <c r="C16" s="2" t="n">
        <f aca="false">873006533*14000</f>
        <v>12222091462000</v>
      </c>
      <c r="D16" s="2" t="n">
        <f aca="false">609115647*14000</f>
        <v>8527619058000</v>
      </c>
      <c r="E16" s="2" t="n">
        <f aca="false">813674195*14000</f>
        <v>11391438730000</v>
      </c>
      <c r="F16" s="5" t="n">
        <f aca="false">847466901*14000</f>
        <v>11864536614000</v>
      </c>
    </row>
    <row r="17" customFormat="false" ht="15.75" hidden="false" customHeight="false" outlineLevel="0" collapsed="false">
      <c r="A17" s="3" t="s">
        <v>16</v>
      </c>
      <c r="B17" s="2" t="n">
        <f aca="false">46094058*14000</f>
        <v>645316812000</v>
      </c>
      <c r="C17" s="2" t="n">
        <f aca="false">101138942*14000</f>
        <v>1415945188000</v>
      </c>
      <c r="D17" s="2" t="n">
        <f aca="false">13771040*14000</f>
        <v>192794560000</v>
      </c>
      <c r="E17" s="2" t="n">
        <f aca="false">42359522*14000</f>
        <v>593033308000</v>
      </c>
      <c r="F17" s="5" t="n">
        <f aca="false">56213067*14000</f>
        <v>786982938000</v>
      </c>
    </row>
    <row r="18" customFormat="false" ht="15.75" hidden="false" customHeight="false" outlineLevel="0" collapsed="false">
      <c r="A18" s="3" t="s">
        <v>17</v>
      </c>
      <c r="B18" s="2" t="n">
        <f aca="false">-14294514*14000</f>
        <v>-200123196000</v>
      </c>
      <c r="C18" s="2" t="n">
        <f aca="false">-51471422*14000</f>
        <v>-720599908000</v>
      </c>
      <c r="D18" s="2" t="n">
        <f aca="false">-25395841*14000</f>
        <v>-355541774000</v>
      </c>
      <c r="E18" s="2" t="n">
        <f aca="false">7924947*14000</f>
        <v>110949258000</v>
      </c>
      <c r="F18" s="5" t="n">
        <f aca="false">37744391*14000</f>
        <v>528421474000</v>
      </c>
    </row>
    <row r="19" customFormat="false" ht="15.75" hidden="false" customHeight="false" outlineLevel="0" collapsed="false">
      <c r="A19" s="3" t="s">
        <v>18</v>
      </c>
      <c r="B19" s="2" t="n">
        <f aca="false">-30116375*14000</f>
        <v>-421629250000</v>
      </c>
      <c r="C19" s="2" t="n">
        <f aca="false">-35325865*14000</f>
        <v>-494562110000</v>
      </c>
      <c r="D19" s="2" t="n">
        <f aca="false">29212176*14000</f>
        <v>408970464000</v>
      </c>
      <c r="E19" s="2" t="n">
        <f aca="false">-16489927*14000</f>
        <v>-230858978000</v>
      </c>
      <c r="F19" s="5" t="n">
        <f aca="false">13994747*14000</f>
        <v>195926458000</v>
      </c>
    </row>
  </sheetData>
  <conditionalFormatting sqref="A1:A19 F3:F8 F12 F14:F19">
    <cfRule type="containsText" priority="2" operator="containsText" aboveAverage="0" equalAverage="0" bottom="0" percent="0" rank="0" text="-" dxfId="4">
      <formula>NOT(ISERROR(SEARCH("-",A1)))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8" activeCellId="1" sqref="F5 D18"/>
    </sheetView>
  </sheetViews>
  <sheetFormatPr defaultColWidth="8.70703125" defaultRowHeight="12.75" zeroHeight="false" outlineLevelRow="0" outlineLevelCol="0"/>
  <cols>
    <col collapsed="false" customWidth="true" hidden="false" outlineLevel="0" max="1" min="1" style="0" width="19.71"/>
    <col collapsed="false" customWidth="true" hidden="false" outlineLevel="0" max="5" min="2" style="0" width="13.14"/>
    <col collapsed="false" customWidth="true" hidden="false" outlineLevel="0" max="6" min="6" style="0" width="14.43"/>
  </cols>
  <sheetData>
    <row r="1" customFormat="false" ht="15.75" hidden="false" customHeight="false" outlineLevel="0" collapsed="false">
      <c r="A1" s="1" t="s">
        <v>0</v>
      </c>
      <c r="B1" s="2" t="s">
        <v>22</v>
      </c>
      <c r="C1" s="2" t="s">
        <v>22</v>
      </c>
      <c r="D1" s="2" t="s">
        <v>22</v>
      </c>
      <c r="E1" s="2" t="s">
        <v>22</v>
      </c>
      <c r="F1" s="2" t="s">
        <v>22</v>
      </c>
    </row>
    <row r="2" customFormat="false" ht="15.75" hidden="false" customHeight="false" outlineLevel="0" collapsed="false">
      <c r="A2" s="1" t="s">
        <v>3</v>
      </c>
      <c r="B2" s="2" t="n">
        <v>2022</v>
      </c>
      <c r="C2" s="2" t="n">
        <v>2021</v>
      </c>
      <c r="D2" s="2" t="n">
        <v>2020</v>
      </c>
      <c r="E2" s="2" t="n">
        <v>2019</v>
      </c>
      <c r="F2" s="2" t="n">
        <v>2018</v>
      </c>
    </row>
    <row r="3" customFormat="false" ht="15.75" hidden="false" customHeight="false" outlineLevel="0" collapsed="false">
      <c r="A3" s="3" t="s">
        <v>4</v>
      </c>
      <c r="B3" s="2" t="n">
        <f aca="false">179452*14000</f>
        <v>2512328000</v>
      </c>
      <c r="C3" s="4" t="n">
        <f aca="false">175872*14000</f>
        <v>2462208000</v>
      </c>
      <c r="D3" s="2" t="n">
        <f aca="false">231200*14000</f>
        <v>3236800000</v>
      </c>
      <c r="E3" s="2" t="n">
        <f aca="false">88944*14000</f>
        <v>1245216000</v>
      </c>
      <c r="F3" s="5" t="n">
        <f aca="false">63454*14000</f>
        <v>888356000</v>
      </c>
    </row>
    <row r="4" customFormat="false" ht="15.75" hidden="false" customHeight="false" outlineLevel="0" collapsed="false">
      <c r="A4" s="3" t="s">
        <v>5</v>
      </c>
      <c r="B4" s="7" t="n">
        <f aca="false">(10439)*14000</f>
        <v>146146000</v>
      </c>
      <c r="C4" s="2" t="n">
        <f aca="false">(62+10862)*14000</f>
        <v>152936000</v>
      </c>
      <c r="D4" s="2" t="n">
        <f aca="false">161*14000</f>
        <v>2254000</v>
      </c>
      <c r="E4" s="2" t="n">
        <f aca="false">6000*14000</f>
        <v>84000000</v>
      </c>
      <c r="F4" s="5" t="n">
        <f aca="false">(6600+5097)*14000</f>
        <v>163758000</v>
      </c>
    </row>
    <row r="5" customFormat="false" ht="15.75" hidden="false" customHeight="false" outlineLevel="0" collapsed="false">
      <c r="A5" s="3" t="s">
        <v>6</v>
      </c>
      <c r="B5" s="2"/>
      <c r="C5" s="2"/>
      <c r="D5" s="2"/>
      <c r="E5" s="2"/>
      <c r="F5" s="5"/>
    </row>
    <row r="6" customFormat="false" ht="15.75" hidden="false" customHeight="false" outlineLevel="0" collapsed="false">
      <c r="A6" s="3" t="s">
        <v>7</v>
      </c>
      <c r="B6" s="2" t="n">
        <f aca="false">16669*14000</f>
        <v>233366000</v>
      </c>
      <c r="C6" s="2" t="n">
        <f aca="false">30680*14000</f>
        <v>429520000</v>
      </c>
      <c r="D6" s="2" t="n">
        <f aca="false">56480*14000</f>
        <v>790720000</v>
      </c>
      <c r="E6" s="2" t="n">
        <f aca="false">412*14000</f>
        <v>5768000</v>
      </c>
      <c r="F6" s="5" t="n">
        <f aca="false">708*14000</f>
        <v>9912000</v>
      </c>
    </row>
    <row r="7" customFormat="false" ht="15.75" hidden="false" customHeight="false" outlineLevel="0" collapsed="false">
      <c r="A7" s="3" t="s">
        <v>8</v>
      </c>
      <c r="B7" s="2" t="n">
        <f aca="false">1324223*14000</f>
        <v>18539122000</v>
      </c>
      <c r="C7" s="2" t="n">
        <f aca="false">893874*14000</f>
        <v>12514236000</v>
      </c>
      <c r="D7" s="2" t="n">
        <f aca="false">224837*14000</f>
        <v>3147718000</v>
      </c>
      <c r="E7" s="2" t="n">
        <f aca="false">261398*14000</f>
        <v>3659572000</v>
      </c>
      <c r="F7" s="5" t="n">
        <f aca="false">35542*14000</f>
        <v>497588000</v>
      </c>
    </row>
    <row r="8" customFormat="false" ht="15.75" hidden="false" customHeight="false" outlineLevel="0" collapsed="false">
      <c r="A8" s="3" t="s">
        <v>9</v>
      </c>
      <c r="B8" s="2" t="n">
        <f aca="false">9155255*14000</f>
        <v>128173570000</v>
      </c>
      <c r="C8" s="2" t="n">
        <f aca="false">10052367*14000</f>
        <v>140733138000</v>
      </c>
      <c r="D8" s="2" t="n">
        <f aca="false">27968*14000</f>
        <v>391552000</v>
      </c>
      <c r="E8" s="2"/>
      <c r="F8" s="5"/>
    </row>
    <row r="9" customFormat="false" ht="15.75" hidden="false" customHeight="false" outlineLevel="0" collapsed="false">
      <c r="A9" s="3" t="s">
        <v>10</v>
      </c>
      <c r="B9" s="2" t="n">
        <v>870701000</v>
      </c>
      <c r="C9" s="2" t="n">
        <v>870701000</v>
      </c>
      <c r="D9" s="2" t="n">
        <v>870701000</v>
      </c>
      <c r="E9" s="2" t="n">
        <v>870701000</v>
      </c>
      <c r="F9" s="2" t="n">
        <v>870701000</v>
      </c>
    </row>
    <row r="10" customFormat="false" ht="15.75" hidden="false" customHeight="false" outlineLevel="0" collapsed="false">
      <c r="A10" s="1" t="s">
        <v>0</v>
      </c>
      <c r="B10" s="2" t="s">
        <v>22</v>
      </c>
      <c r="C10" s="2" t="s">
        <v>22</v>
      </c>
      <c r="D10" s="2" t="s">
        <v>22</v>
      </c>
      <c r="E10" s="2" t="s">
        <v>22</v>
      </c>
      <c r="F10" s="2" t="s">
        <v>22</v>
      </c>
    </row>
    <row r="11" customFormat="false" ht="15.75" hidden="false" customHeight="false" outlineLevel="0" collapsed="false">
      <c r="A11" s="1" t="s">
        <v>3</v>
      </c>
      <c r="B11" s="2" t="n">
        <v>2022</v>
      </c>
      <c r="C11" s="2" t="n">
        <v>2021</v>
      </c>
      <c r="D11" s="2" t="n">
        <v>2020</v>
      </c>
      <c r="E11" s="2" t="n">
        <v>2019</v>
      </c>
      <c r="F11" s="2" t="n">
        <v>2018</v>
      </c>
    </row>
    <row r="12" customFormat="false" ht="15.75" hidden="false" customHeight="false" outlineLevel="0" collapsed="false">
      <c r="A12" s="3" t="s">
        <v>11</v>
      </c>
      <c r="B12" s="2" t="n">
        <f aca="false">101442*14000</f>
        <v>1420188000</v>
      </c>
      <c r="C12" s="2" t="n">
        <f aca="false">204458*14000</f>
        <v>2862412000</v>
      </c>
      <c r="D12" s="2" t="n">
        <f aca="false">106569*14000</f>
        <v>1491966000</v>
      </c>
      <c r="E12" s="2" t="n">
        <f aca="false">12000*14000</f>
        <v>168000000</v>
      </c>
      <c r="F12" s="5" t="n">
        <f aca="false">24213*14000</f>
        <v>338982000</v>
      </c>
    </row>
    <row r="13" customFormat="false" ht="15.75" hidden="false" customHeight="false" outlineLevel="0" collapsed="false">
      <c r="A13" s="3" t="s">
        <v>12</v>
      </c>
      <c r="B13" s="2" t="n">
        <f aca="false">101442*14000</f>
        <v>1420188000</v>
      </c>
      <c r="C13" s="2" t="n">
        <f aca="false">204458*14000</f>
        <v>2862412000</v>
      </c>
      <c r="D13" s="2" t="n">
        <f aca="false">106569*14000</f>
        <v>1491966000</v>
      </c>
      <c r="E13" s="2" t="n">
        <f aca="false">12000*14000</f>
        <v>168000000</v>
      </c>
      <c r="F13" s="5" t="n">
        <f aca="false">24213*14000</f>
        <v>338982000</v>
      </c>
    </row>
    <row r="14" customFormat="false" ht="15.75" hidden="false" customHeight="false" outlineLevel="0" collapsed="false">
      <c r="A14" s="3" t="s">
        <v>13</v>
      </c>
      <c r="B14" s="2" t="n">
        <f aca="false">28820551*14000</f>
        <v>403487714000</v>
      </c>
      <c r="C14" s="2" t="n">
        <f aca="false">12256008*14000</f>
        <v>171584112000</v>
      </c>
      <c r="D14" s="2" t="n">
        <f aca="false">12400825*14000</f>
        <v>173611550000</v>
      </c>
      <c r="E14" s="2" t="n">
        <f aca="false">11811130*14000</f>
        <v>165355820000</v>
      </c>
      <c r="F14" s="5" t="n">
        <f aca="false">10905715*14000</f>
        <v>152680010000</v>
      </c>
    </row>
    <row r="15" customFormat="false" ht="15.75" hidden="false" customHeight="false" outlineLevel="0" collapsed="false">
      <c r="A15" s="3" t="s">
        <v>14</v>
      </c>
      <c r="B15" s="2" t="n">
        <f aca="false">28820551*14000</f>
        <v>403487714000</v>
      </c>
      <c r="C15" s="2" t="n">
        <f aca="false">12256008*14000</f>
        <v>171584112000</v>
      </c>
      <c r="D15" s="2" t="n">
        <f aca="false">12400825*14000</f>
        <v>173611550000</v>
      </c>
      <c r="E15" s="2" t="n">
        <f aca="false">11811130*14000</f>
        <v>165355820000</v>
      </c>
      <c r="F15" s="5" t="n">
        <f aca="false">10905715*14000</f>
        <v>152680010000</v>
      </c>
    </row>
    <row r="16" customFormat="false" ht="15.75" hidden="false" customHeight="false" outlineLevel="0" collapsed="false">
      <c r="A16" s="3" t="s">
        <v>15</v>
      </c>
      <c r="B16" s="2" t="n">
        <f aca="false">71307*14000</f>
        <v>998298000</v>
      </c>
      <c r="C16" s="2" t="n">
        <f aca="false">234427*14000</f>
        <v>3281978000</v>
      </c>
      <c r="D16" s="2" t="n">
        <f aca="false">112569*14000</f>
        <v>1575966000</v>
      </c>
      <c r="E16" s="2" t="n">
        <f aca="false">12600*14000</f>
        <v>176400000</v>
      </c>
      <c r="F16" s="5" t="n">
        <f aca="false">53594*14000</f>
        <v>750316000</v>
      </c>
    </row>
    <row r="17" customFormat="false" ht="15.75" hidden="false" customHeight="false" outlineLevel="0" collapsed="false">
      <c r="A17" s="3" t="s">
        <v>16</v>
      </c>
      <c r="B17" s="2" t="n">
        <f aca="false">-226380*14000</f>
        <v>-3169320000</v>
      </c>
      <c r="C17" s="2" t="n">
        <f aca="false">-244805*14000</f>
        <v>-3427270000</v>
      </c>
      <c r="D17" s="2" t="n">
        <f aca="false">69278*14000</f>
        <v>969892000</v>
      </c>
      <c r="E17" s="2" t="n">
        <f aca="false">-176725*14000</f>
        <v>-2474150000</v>
      </c>
      <c r="F17" s="5" t="n">
        <f aca="false">-148875*14000</f>
        <v>-2084250000</v>
      </c>
    </row>
    <row r="18" customFormat="false" ht="15.75" hidden="false" customHeight="false" outlineLevel="0" collapsed="false">
      <c r="A18" s="3" t="s">
        <v>17</v>
      </c>
      <c r="B18" s="2"/>
      <c r="C18" s="2"/>
      <c r="D18" s="2" t="n">
        <f aca="false">-908*14000</f>
        <v>-12712000</v>
      </c>
      <c r="E18" s="2" t="n">
        <f aca="false">-10199494*14000</f>
        <v>-142792916000</v>
      </c>
      <c r="F18" s="5" t="n">
        <f aca="false">176419*14000</f>
        <v>2469866000</v>
      </c>
    </row>
    <row r="19" customFormat="false" ht="15.75" hidden="false" customHeight="false" outlineLevel="0" collapsed="false">
      <c r="A19" s="3" t="s">
        <v>18</v>
      </c>
      <c r="B19" s="2" t="n">
        <f aca="false">256432*14000</f>
        <v>3590048000</v>
      </c>
      <c r="C19" s="2" t="n">
        <f aca="false">295064*14000</f>
        <v>4130896000</v>
      </c>
      <c r="D19" s="2" t="n">
        <f aca="false">-98771*14000</f>
        <v>-1382794000</v>
      </c>
      <c r="E19" s="2" t="n">
        <f aca="false">10366654*14000</f>
        <v>145133156000</v>
      </c>
      <c r="F19" s="5"/>
    </row>
  </sheetData>
  <conditionalFormatting sqref="A1:A19 F3:F8 F12:F19">
    <cfRule type="containsText" priority="2" operator="containsText" aboveAverage="0" equalAverage="0" bottom="0" percent="0" rank="0" text="-" dxfId="5">
      <formula>NOT(ISERROR(SEARCH("-",A1)))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9" activeCellId="1" sqref="F5 B9"/>
    </sheetView>
  </sheetViews>
  <sheetFormatPr defaultColWidth="8.70703125" defaultRowHeight="12.75" zeroHeight="false" outlineLevelRow="0" outlineLevelCol="0"/>
  <cols>
    <col collapsed="false" customWidth="true" hidden="false" outlineLevel="0" max="1" min="1" style="0" width="19.71"/>
    <col collapsed="false" customWidth="true" hidden="false" outlineLevel="0" max="5" min="2" style="0" width="13.14"/>
    <col collapsed="false" customWidth="true" hidden="false" outlineLevel="0" max="6" min="6" style="0" width="14.43"/>
  </cols>
  <sheetData>
    <row r="1" customFormat="false" ht="15.75" hidden="false" customHeight="false" outlineLevel="0" collapsed="false">
      <c r="A1" s="1" t="s">
        <v>0</v>
      </c>
      <c r="B1" s="2" t="s">
        <v>23</v>
      </c>
      <c r="C1" s="2" t="s">
        <v>23</v>
      </c>
      <c r="D1" s="2" t="s">
        <v>23</v>
      </c>
      <c r="E1" s="2" t="s">
        <v>23</v>
      </c>
      <c r="F1" s="2" t="s">
        <v>23</v>
      </c>
    </row>
    <row r="2" customFormat="false" ht="15.75" hidden="false" customHeight="false" outlineLevel="0" collapsed="false">
      <c r="A2" s="1" t="s">
        <v>3</v>
      </c>
      <c r="B2" s="2" t="n">
        <v>2022</v>
      </c>
      <c r="C2" s="2" t="n">
        <v>2021</v>
      </c>
      <c r="D2" s="2" t="n">
        <v>2020</v>
      </c>
      <c r="E2" s="2" t="n">
        <v>2019</v>
      </c>
      <c r="F2" s="2" t="n">
        <v>2018</v>
      </c>
    </row>
    <row r="3" customFormat="false" ht="15.75" hidden="false" customHeight="false" outlineLevel="0" collapsed="false">
      <c r="A3" s="3" t="s">
        <v>4</v>
      </c>
      <c r="B3" s="2" t="n">
        <v>58069302480</v>
      </c>
      <c r="C3" s="4" t="n">
        <v>80725431351</v>
      </c>
      <c r="D3" s="2" t="n">
        <v>51067737637</v>
      </c>
      <c r="E3" s="2" t="n">
        <v>46480321495</v>
      </c>
      <c r="F3" s="5" t="n">
        <v>49976085928</v>
      </c>
    </row>
    <row r="4" customFormat="false" ht="15.75" hidden="false" customHeight="false" outlineLevel="0" collapsed="false">
      <c r="A4" s="3" t="s">
        <v>5</v>
      </c>
      <c r="B4" s="7" t="n">
        <f aca="false">346504540041+743258370</f>
        <v>347247798411</v>
      </c>
      <c r="C4" s="2" t="n">
        <f aca="false">359120905415+1492512332</f>
        <v>360613417747</v>
      </c>
      <c r="D4" s="2" t="n">
        <f aca="false">322868719313+3432687573</f>
        <v>326301406886</v>
      </c>
      <c r="E4" s="2" t="n">
        <v>352331300302</v>
      </c>
      <c r="F4" s="5" t="n">
        <v>370235456448</v>
      </c>
    </row>
    <row r="5" customFormat="false" ht="15.75" hidden="false" customHeight="false" outlineLevel="0" collapsed="false">
      <c r="A5" s="3" t="s">
        <v>6</v>
      </c>
      <c r="B5" s="2" t="n">
        <v>484113491177</v>
      </c>
      <c r="C5" s="2" t="n">
        <v>319927032910</v>
      </c>
      <c r="D5" s="2" t="n">
        <v>267931645582</v>
      </c>
      <c r="E5" s="2" t="n">
        <v>224539540888</v>
      </c>
      <c r="F5" s="5" t="n">
        <v>381110555773</v>
      </c>
    </row>
    <row r="6" customFormat="false" ht="15.75" hidden="false" customHeight="false" outlineLevel="0" collapsed="false">
      <c r="A6" s="3" t="s">
        <v>7</v>
      </c>
      <c r="B6" s="2" t="n">
        <v>501510337754</v>
      </c>
      <c r="C6" s="2" t="n">
        <v>515806733821</v>
      </c>
      <c r="D6" s="2" t="n">
        <v>552917461644</v>
      </c>
      <c r="E6" s="2" t="n">
        <v>586699930470</v>
      </c>
      <c r="F6" s="5" t="n">
        <v>524053587271</v>
      </c>
    </row>
    <row r="7" customFormat="false" ht="15.75" hidden="false" customHeight="false" outlineLevel="0" collapsed="false">
      <c r="A7" s="3" t="s">
        <v>8</v>
      </c>
      <c r="B7" s="2" t="n">
        <v>573543313164</v>
      </c>
      <c r="C7" s="2" t="n">
        <v>429460722343</v>
      </c>
      <c r="D7" s="2" t="n">
        <v>403756303700</v>
      </c>
      <c r="E7" s="2" t="n">
        <v>507508226950</v>
      </c>
      <c r="F7" s="5" t="n">
        <v>704831802004</v>
      </c>
    </row>
    <row r="8" customFormat="false" ht="15.75" hidden="false" customHeight="false" outlineLevel="0" collapsed="false">
      <c r="A8" s="3" t="s">
        <v>9</v>
      </c>
      <c r="B8" s="2" t="n">
        <v>227535486154</v>
      </c>
      <c r="C8" s="2" t="n">
        <v>199537540749</v>
      </c>
      <c r="D8" s="2" t="n">
        <v>178482727620</v>
      </c>
      <c r="E8" s="2" t="n">
        <v>137936772408</v>
      </c>
      <c r="F8" s="5" t="n">
        <v>131413633107</v>
      </c>
    </row>
    <row r="9" customFormat="false" ht="15.75" hidden="false" customHeight="false" outlineLevel="0" collapsed="false">
      <c r="A9" s="3" t="s">
        <v>10</v>
      </c>
      <c r="B9" s="2" t="n">
        <v>405000000</v>
      </c>
      <c r="C9" s="2" t="n">
        <v>405000000</v>
      </c>
      <c r="D9" s="2" t="n">
        <v>405000000</v>
      </c>
      <c r="E9" s="2" t="n">
        <v>405000000</v>
      </c>
      <c r="F9" s="2" t="n">
        <v>405000000</v>
      </c>
    </row>
    <row r="10" customFormat="false" ht="15.75" hidden="false" customHeight="false" outlineLevel="0" collapsed="false">
      <c r="A10" s="1" t="s">
        <v>0</v>
      </c>
      <c r="B10" s="2" t="s">
        <v>23</v>
      </c>
      <c r="C10" s="2" t="s">
        <v>23</v>
      </c>
      <c r="D10" s="2" t="s">
        <v>23</v>
      </c>
      <c r="E10" s="2" t="s">
        <v>23</v>
      </c>
      <c r="F10" s="2" t="s">
        <v>23</v>
      </c>
    </row>
    <row r="11" customFormat="false" ht="15.75" hidden="false" customHeight="false" outlineLevel="0" collapsed="false">
      <c r="A11" s="1" t="s">
        <v>3</v>
      </c>
      <c r="B11" s="2" t="n">
        <v>2022</v>
      </c>
      <c r="C11" s="2" t="n">
        <v>2021</v>
      </c>
      <c r="D11" s="2" t="n">
        <v>2020</v>
      </c>
      <c r="E11" s="2" t="n">
        <v>2019</v>
      </c>
      <c r="F11" s="2" t="n">
        <v>2018</v>
      </c>
    </row>
    <row r="12" customFormat="false" ht="15.75" hidden="false" customHeight="false" outlineLevel="0" collapsed="false">
      <c r="A12" s="3" t="s">
        <v>11</v>
      </c>
      <c r="B12" s="2" t="n">
        <v>1166935110952</v>
      </c>
      <c r="C12" s="2" t="n">
        <v>2241085126185</v>
      </c>
      <c r="D12" s="2" t="n">
        <v>1923089935410</v>
      </c>
      <c r="E12" s="2" t="n">
        <v>2234941096110</v>
      </c>
      <c r="F12" s="5" t="n">
        <v>2327951625610</v>
      </c>
    </row>
    <row r="13" customFormat="false" ht="15.75" hidden="false" customHeight="false" outlineLevel="0" collapsed="false">
      <c r="A13" s="3" t="s">
        <v>12</v>
      </c>
      <c r="B13" s="2" t="n">
        <v>142213084803</v>
      </c>
      <c r="C13" s="2" t="n">
        <v>336269681429</v>
      </c>
      <c r="D13" s="2" t="n">
        <v>327742217137</v>
      </c>
      <c r="E13" s="2" t="n">
        <v>360944101669</v>
      </c>
      <c r="F13" s="2" t="n">
        <v>333715869803</v>
      </c>
    </row>
    <row r="14" customFormat="false" ht="15.75" hidden="false" customHeight="false" outlineLevel="0" collapsed="false">
      <c r="A14" s="3" t="s">
        <v>13</v>
      </c>
      <c r="B14" s="2" t="n">
        <v>42286064599</v>
      </c>
      <c r="C14" s="2" t="n">
        <v>98670516829</v>
      </c>
      <c r="D14" s="2" t="n">
        <v>82952707385</v>
      </c>
      <c r="E14" s="2" t="n">
        <v>94926825515</v>
      </c>
      <c r="F14" s="5" t="n">
        <v>103955745914</v>
      </c>
    </row>
    <row r="15" customFormat="false" ht="15.75" hidden="false" customHeight="false" outlineLevel="0" collapsed="false">
      <c r="A15" s="3" t="s">
        <v>14</v>
      </c>
      <c r="B15" s="2" t="n">
        <v>33179992950</v>
      </c>
      <c r="C15" s="2" t="n">
        <v>72634468539</v>
      </c>
      <c r="D15" s="2" t="n">
        <v>60178290460</v>
      </c>
      <c r="E15" s="2" t="n">
        <v>64090903507</v>
      </c>
      <c r="F15" s="5" t="n">
        <v>76761902211</v>
      </c>
    </row>
    <row r="16" customFormat="false" ht="15.75" hidden="false" customHeight="false" outlineLevel="0" collapsed="false">
      <c r="A16" s="3" t="s">
        <v>15</v>
      </c>
      <c r="B16" s="2" t="n">
        <v>1196149861031</v>
      </c>
      <c r="C16" s="2" t="n">
        <v>2204396686208</v>
      </c>
      <c r="D16" s="2" t="n">
        <v>1958145058662</v>
      </c>
      <c r="E16" s="2" t="n">
        <v>2250920678764</v>
      </c>
      <c r="F16" s="5" t="n">
        <v>2378357854621</v>
      </c>
    </row>
    <row r="17" customFormat="false" ht="15.75" hidden="false" customHeight="false" outlineLevel="0" collapsed="false">
      <c r="A17" s="3" t="s">
        <v>16</v>
      </c>
      <c r="B17" s="2" t="n">
        <v>-103342015029</v>
      </c>
      <c r="C17" s="2" t="n">
        <v>-62896940040</v>
      </c>
      <c r="D17" s="2" t="n">
        <v>92471853714</v>
      </c>
      <c r="E17" s="2" t="n">
        <v>258033801758</v>
      </c>
      <c r="F17" s="5" t="n">
        <v>88557902537</v>
      </c>
    </row>
    <row r="18" customFormat="false" ht="15.75" hidden="false" customHeight="false" outlineLevel="0" collapsed="false">
      <c r="A18" s="3" t="s">
        <v>17</v>
      </c>
      <c r="B18" s="2" t="n">
        <v>-10712307145</v>
      </c>
      <c r="C18" s="2" t="n">
        <v>-12886499534</v>
      </c>
      <c r="D18" s="2" t="n">
        <v>-14970061513</v>
      </c>
      <c r="E18" s="2" t="n">
        <v>-98625506056</v>
      </c>
      <c r="F18" s="5" t="n">
        <v>-116413254280</v>
      </c>
    </row>
    <row r="19" customFormat="false" ht="15.75" hidden="false" customHeight="false" outlineLevel="0" collapsed="false">
      <c r="A19" s="3" t="s">
        <v>18</v>
      </c>
      <c r="B19" s="2" t="n">
        <v>91123336316</v>
      </c>
      <c r="C19" s="2" t="n">
        <v>105292485108</v>
      </c>
      <c r="D19" s="2" t="n">
        <v>-71639804319</v>
      </c>
      <c r="E19" s="2" t="n">
        <v>-157169889464</v>
      </c>
      <c r="F19" s="5" t="n">
        <v>-17440422651</v>
      </c>
    </row>
  </sheetData>
  <conditionalFormatting sqref="A1:A19 F3:F8 F12 F14:F19">
    <cfRule type="containsText" priority="2" operator="containsText" aboveAverage="0" equalAverage="0" bottom="0" percent="0" rank="0" text="-" dxfId="6">
      <formula>NOT(ISERROR(SEARCH("-",A1)))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" activeCellId="1" sqref="F5 E3"/>
    </sheetView>
  </sheetViews>
  <sheetFormatPr defaultColWidth="8.70703125" defaultRowHeight="12.75" zeroHeight="false" outlineLevelRow="0" outlineLevelCol="0"/>
  <cols>
    <col collapsed="false" customWidth="true" hidden="false" outlineLevel="0" max="1" min="1" style="0" width="19.71"/>
    <col collapsed="false" customWidth="true" hidden="false" outlineLevel="0" max="5" min="2" style="0" width="13.14"/>
    <col collapsed="false" customWidth="true" hidden="false" outlineLevel="0" max="6" min="6" style="0" width="14.43"/>
  </cols>
  <sheetData>
    <row r="1" customFormat="false" ht="15.75" hidden="false" customHeight="false" outlineLevel="0" collapsed="false">
      <c r="A1" s="1" t="s">
        <v>0</v>
      </c>
      <c r="B1" s="2" t="s">
        <v>24</v>
      </c>
      <c r="C1" s="2" t="s">
        <v>24</v>
      </c>
      <c r="D1" s="2" t="s">
        <v>24</v>
      </c>
      <c r="E1" s="2" t="s">
        <v>24</v>
      </c>
      <c r="F1" s="2" t="s">
        <v>24</v>
      </c>
    </row>
    <row r="2" customFormat="false" ht="15.75" hidden="false" customHeight="false" outlineLevel="0" collapsed="false">
      <c r="A2" s="1" t="s">
        <v>3</v>
      </c>
      <c r="B2" s="2" t="n">
        <v>2022</v>
      </c>
      <c r="C2" s="2" t="n">
        <v>2021</v>
      </c>
      <c r="D2" s="2" t="n">
        <v>2020</v>
      </c>
      <c r="E2" s="2" t="n">
        <v>2019</v>
      </c>
      <c r="F2" s="2" t="n">
        <v>2018</v>
      </c>
    </row>
    <row r="3" customFormat="false" ht="15.75" hidden="false" customHeight="false" outlineLevel="0" collapsed="false">
      <c r="A3" s="3" t="s">
        <v>4</v>
      </c>
      <c r="B3" s="2" t="n">
        <f aca="false">4172112*14000</f>
        <v>58409568000</v>
      </c>
      <c r="C3" s="4" t="n">
        <f aca="false">4605359*14000</f>
        <v>64475026000</v>
      </c>
      <c r="D3" s="2" t="n">
        <f aca="false">9532858*14000</f>
        <v>133460012000</v>
      </c>
      <c r="E3" s="2" t="n">
        <f aca="false">4266153*14000</f>
        <v>59726142000</v>
      </c>
      <c r="F3" s="5" t="n">
        <f aca="false">4897172*14000</f>
        <v>68560408000</v>
      </c>
    </row>
    <row r="4" customFormat="false" ht="15.75" hidden="false" customHeight="false" outlineLevel="0" collapsed="false">
      <c r="A4" s="3" t="s">
        <v>5</v>
      </c>
      <c r="B4" s="7" t="n">
        <f aca="false">(42821507+1429104)*14000</f>
        <v>619508554000</v>
      </c>
      <c r="C4" s="2" t="n">
        <f aca="false">(39044320+3065886)*14000</f>
        <v>589542884000</v>
      </c>
      <c r="D4" s="2" t="n">
        <f aca="false">(30921480+1765262)*14000</f>
        <v>457614388000</v>
      </c>
      <c r="E4" s="2" t="n">
        <f aca="false">(32691338+2878340)*14000</f>
        <v>497975492000</v>
      </c>
      <c r="F4" s="5" t="n">
        <f aca="false">(38519694+7643060)*14000</f>
        <v>646278556000</v>
      </c>
    </row>
    <row r="5" customFormat="false" ht="15.75" hidden="false" customHeight="false" outlineLevel="0" collapsed="false">
      <c r="A5" s="3" t="s">
        <v>6</v>
      </c>
      <c r="B5" s="2" t="n">
        <f aca="false">55208590*14000</f>
        <v>772920260000</v>
      </c>
      <c r="C5" s="2" t="n">
        <f aca="false">50809163*14000</f>
        <v>711328282000</v>
      </c>
      <c r="D5" s="2" t="n">
        <f aca="false">52289618*14000</f>
        <v>732054652000</v>
      </c>
      <c r="E5" s="2" t="n">
        <f aca="false">60207558*14000</f>
        <v>842905812000</v>
      </c>
      <c r="F5" s="5" t="n">
        <f aca="false">55825337*14000</f>
        <v>781554718000</v>
      </c>
    </row>
    <row r="6" customFormat="false" ht="15.75" hidden="false" customHeight="false" outlineLevel="0" collapsed="false">
      <c r="A6" s="3" t="s">
        <v>7</v>
      </c>
      <c r="B6" s="2" t="n">
        <f aca="false">77737719*14000</f>
        <v>1088328066000</v>
      </c>
      <c r="C6" s="2" t="n">
        <f aca="false">74705377*14000</f>
        <v>1045875278000</v>
      </c>
      <c r="D6" s="2" t="n">
        <f aca="false">70479328*14000</f>
        <v>986710592000</v>
      </c>
      <c r="E6" s="2" t="n">
        <f aca="false">70653030*14000</f>
        <v>989142420000</v>
      </c>
      <c r="F6" s="5" t="n">
        <f aca="false">67760965*14000</f>
        <v>948653510000</v>
      </c>
    </row>
    <row r="7" customFormat="false" ht="15.75" hidden="false" customHeight="false" outlineLevel="0" collapsed="false">
      <c r="A7" s="3" t="s">
        <v>8</v>
      </c>
      <c r="B7" s="2" t="n">
        <f aca="false">1112419579*14000</f>
        <v>15573874106000</v>
      </c>
      <c r="C7" s="2" t="n">
        <f aca="false">1118727911*14000</f>
        <v>15662190754000</v>
      </c>
      <c r="D7" s="2" t="n">
        <f aca="false">1116475431*14000</f>
        <v>15630656034000</v>
      </c>
      <c r="E7" s="2" t="n">
        <f aca="false">1110607576*14000</f>
        <v>15548506064000</v>
      </c>
      <c r="F7" s="5" t="n">
        <f aca="false">1100156831*14000</f>
        <v>15402195634000</v>
      </c>
    </row>
    <row r="8" customFormat="false" ht="15.75" hidden="false" customHeight="false" outlineLevel="0" collapsed="false">
      <c r="A8" s="3" t="s">
        <v>9</v>
      </c>
      <c r="B8" s="2" t="n">
        <f aca="false">81166305*14000</f>
        <v>1136328270000</v>
      </c>
      <c r="C8" s="2" t="n">
        <f aca="false">80439572*14000</f>
        <v>1126154008000</v>
      </c>
      <c r="D8" s="2" t="n">
        <f aca="false">77427776*14000</f>
        <v>1083988864000</v>
      </c>
      <c r="E8" s="2" t="n">
        <f aca="false">72789865*14000</f>
        <v>1019058110000</v>
      </c>
      <c r="F8" s="5" t="n">
        <f aca="false">67515608*14000</f>
        <v>945218512000</v>
      </c>
    </row>
    <row r="9" customFormat="false" ht="15.75" hidden="false" customHeight="false" outlineLevel="0" collapsed="false">
      <c r="A9" s="3" t="s">
        <v>10</v>
      </c>
      <c r="B9" s="2" t="n">
        <v>2475752347</v>
      </c>
      <c r="C9" s="2" t="n">
        <v>2475752347</v>
      </c>
      <c r="D9" s="2" t="n">
        <v>2475752347</v>
      </c>
      <c r="E9" s="2" t="n">
        <v>2475752347</v>
      </c>
      <c r="F9" s="2" t="n">
        <v>2475752347</v>
      </c>
    </row>
    <row r="10" customFormat="false" ht="15.75" hidden="false" customHeight="false" outlineLevel="0" collapsed="false">
      <c r="A10" s="1" t="s">
        <v>0</v>
      </c>
      <c r="B10" s="2" t="s">
        <v>24</v>
      </c>
      <c r="C10" s="2" t="s">
        <v>24</v>
      </c>
      <c r="D10" s="2" t="s">
        <v>24</v>
      </c>
      <c r="E10" s="2" t="s">
        <v>24</v>
      </c>
      <c r="F10" s="2" t="s">
        <v>24</v>
      </c>
    </row>
    <row r="11" customFormat="false" ht="15.75" hidden="false" customHeight="false" outlineLevel="0" collapsed="false">
      <c r="A11" s="1" t="s">
        <v>3</v>
      </c>
      <c r="B11" s="2" t="n">
        <v>2022</v>
      </c>
      <c r="C11" s="2" t="n">
        <v>2021</v>
      </c>
      <c r="D11" s="2" t="n">
        <v>2020</v>
      </c>
      <c r="E11" s="2" t="n">
        <v>2019</v>
      </c>
      <c r="F11" s="2" t="n">
        <v>2018</v>
      </c>
    </row>
    <row r="12" customFormat="false" ht="15.75" hidden="false" customHeight="false" outlineLevel="0" collapsed="false">
      <c r="A12" s="3" t="s">
        <v>11</v>
      </c>
      <c r="B12" s="2" t="n">
        <f aca="false">208434531*14000</f>
        <v>2918083434000</v>
      </c>
      <c r="C12" s="2" t="n">
        <f aca="false">372973845*14000</f>
        <v>5221633830000</v>
      </c>
      <c r="D12" s="2" t="n">
        <f aca="false">260960780*14000</f>
        <v>3653450920000</v>
      </c>
      <c r="E12" s="2" t="n">
        <f aca="false">400534862*14000</f>
        <v>5607488068000</v>
      </c>
      <c r="F12" s="5" t="n">
        <f aca="false">479184685*14000</f>
        <v>6708585590000</v>
      </c>
    </row>
    <row r="13" customFormat="false" ht="15.75" hidden="false" customHeight="false" outlineLevel="0" collapsed="false">
      <c r="A13" s="3" t="s">
        <v>12</v>
      </c>
      <c r="B13" s="2" t="n">
        <f aca="false">21757262*14000</f>
        <v>304601668000</v>
      </c>
      <c r="C13" s="2" t="n">
        <f aca="false">36593502*14000</f>
        <v>512309028000</v>
      </c>
      <c r="D13" s="2" t="n">
        <f aca="false">10500965*14000</f>
        <v>147013510000</v>
      </c>
      <c r="E13" s="2" t="n">
        <f aca="false">27545028*14000</f>
        <v>385630392000</v>
      </c>
      <c r="F13" s="2" t="n">
        <f aca="false">40938921*14000</f>
        <v>573144894000</v>
      </c>
    </row>
    <row r="14" customFormat="false" ht="15.75" hidden="false" customHeight="false" outlineLevel="0" collapsed="false">
      <c r="A14" s="3" t="s">
        <v>13</v>
      </c>
      <c r="B14" s="2" t="n">
        <f aca="false">11473582*14000</f>
        <v>160630148000</v>
      </c>
      <c r="C14" s="2" t="n">
        <f aca="false">4189661*14000</f>
        <v>58655254000</v>
      </c>
      <c r="D14" s="2" t="n">
        <f aca="false">-20121971*14000</f>
        <v>-281707594000</v>
      </c>
      <c r="E14" s="2" t="n">
        <f aca="false">-9435866*14000</f>
        <v>-132102124000</v>
      </c>
      <c r="F14" s="5" t="n">
        <f aca="false">15255817*14000</f>
        <v>213581438000</v>
      </c>
    </row>
    <row r="15" customFormat="false" ht="15.75" hidden="false" customHeight="false" outlineLevel="0" collapsed="false">
      <c r="A15" s="3" t="s">
        <v>14</v>
      </c>
      <c r="B15" s="2" t="n">
        <f aca="false">12482515*14000</f>
        <v>174755210000</v>
      </c>
      <c r="C15" s="2" t="n">
        <f aca="false">1685813*14000</f>
        <v>23601382000</v>
      </c>
      <c r="D15" s="2" t="n">
        <f aca="false">-20549350*14000</f>
        <v>-287690900000</v>
      </c>
      <c r="E15" s="2" t="n">
        <f aca="false">-11914906*14000</f>
        <v>-166808684000</v>
      </c>
      <c r="F15" s="5" t="n">
        <f aca="false">12832260*14000</f>
        <v>179651640000</v>
      </c>
    </row>
    <row r="16" customFormat="false" ht="15.75" hidden="false" customHeight="false" outlineLevel="0" collapsed="false">
      <c r="A16" s="3" t="s">
        <v>15</v>
      </c>
      <c r="B16" s="2" t="n">
        <f aca="false">222474090*14000</f>
        <v>3114637260000</v>
      </c>
      <c r="C16" s="2" t="n">
        <f aca="false">364541841*14000</f>
        <v>5103585774000</v>
      </c>
      <c r="D16" s="2" t="n">
        <f aca="false">262261547*14000</f>
        <v>3671661658000</v>
      </c>
      <c r="E16" s="2" t="n">
        <f aca="false">406363218*14000</f>
        <v>5689085052000</v>
      </c>
      <c r="F16" s="5" t="n">
        <f aca="false">526891497*14000</f>
        <v>7376480958000</v>
      </c>
    </row>
    <row r="17" customFormat="false" ht="15.75" hidden="false" customHeight="false" outlineLevel="0" collapsed="false">
      <c r="A17" s="3" t="s">
        <v>16</v>
      </c>
      <c r="B17" s="2" t="n">
        <f aca="false">1264685*14000</f>
        <v>17705590000</v>
      </c>
      <c r="C17" s="2" t="n">
        <f aca="false">-1786740*14000</f>
        <v>-25014360000</v>
      </c>
      <c r="D17" s="2" t="n">
        <f aca="false">13475976*14000</f>
        <v>188663664000</v>
      </c>
      <c r="E17" s="2" t="n">
        <f aca="false">8260004*14000</f>
        <v>115640056000</v>
      </c>
      <c r="F17" s="5" t="n">
        <f aca="false">-1167123*14000</f>
        <v>-16339722000</v>
      </c>
    </row>
    <row r="18" customFormat="false" ht="15.75" hidden="false" customHeight="false" outlineLevel="0" collapsed="false">
      <c r="A18" s="3" t="s">
        <v>17</v>
      </c>
      <c r="B18" s="2" t="n">
        <f aca="false">-1977880*14000</f>
        <v>-27690320000</v>
      </c>
      <c r="C18" s="2" t="n">
        <f aca="false">-8217427*14000</f>
        <v>-115043978000</v>
      </c>
      <c r="D18" s="2" t="n">
        <f aca="false">-5720282*14000</f>
        <v>-80083948000</v>
      </c>
      <c r="E18" s="2" t="n">
        <f aca="false">-7490637*14000</f>
        <v>-104868918000</v>
      </c>
      <c r="F18" s="5" t="n">
        <f aca="false">-4589602*14000</f>
        <v>-64254428000</v>
      </c>
    </row>
    <row r="19" customFormat="false" ht="15.75" hidden="false" customHeight="false" outlineLevel="0" collapsed="false">
      <c r="A19" s="3" t="s">
        <v>18</v>
      </c>
      <c r="B19" s="2" t="n">
        <f aca="false">-2137*14000</f>
        <v>-29918000</v>
      </c>
      <c r="C19" s="2" t="n">
        <f aca="false">4675690*14000</f>
        <v>65459660000</v>
      </c>
      <c r="D19" s="2" t="n">
        <f aca="false">-2866714*14000</f>
        <v>-40133996000</v>
      </c>
      <c r="E19" s="2" t="n">
        <f aca="false">1313599*14000</f>
        <v>18390386000</v>
      </c>
      <c r="F19" s="5" t="n">
        <f aca="false">3187365*14000</f>
        <v>44623110000</v>
      </c>
    </row>
  </sheetData>
  <conditionalFormatting sqref="A1:A19 F3:F8 F12 F14:F19">
    <cfRule type="containsText" priority="2" operator="containsText" aboveAverage="0" equalAverage="0" bottom="0" percent="0" rank="0" text="-" dxfId="7">
      <formula>NOT(ISERROR(SEARCH("-",A1)))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89</TotalTime>
  <Application>LibreOffice/7.0.4.2$Linux_X86_64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2022-09-01T07:47:46Z</dcterms:created>
  <dc:creator/>
  <dc:description/>
  <dc:language>en-US</dc:language>
  <cp:lastModifiedBy/>
  <dcterms:modified xsi:type="dcterms:W3CDTF">2022-09-17T17:33:20Z</dcterms:modified>
  <cp:revision>17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