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cker" sheetId="1" r:id="rId4"/>
    <sheet state="visible" name="AAPL" sheetId="2" r:id="rId5"/>
    <sheet state="visible" name="AMZN" sheetId="3" r:id="rId6"/>
    <sheet state="visible" name="SNOW" sheetId="4" r:id="rId7"/>
    <sheet state="visible" name="TSLA" sheetId="5" r:id="rId8"/>
    <sheet state="visible" name="META" sheetId="6" r:id="rId9"/>
    <sheet state="visible" name="MSFT" sheetId="7" r:id="rId10"/>
    <sheet state="visible" name="GOOG" sheetId="8" r:id="rId11"/>
  </sheets>
  <definedNames/>
  <calcPr/>
</workbook>
</file>

<file path=xl/sharedStrings.xml><?xml version="1.0" encoding="utf-8"?>
<sst xmlns="http://schemas.openxmlformats.org/spreadsheetml/2006/main" count="22" uniqueCount="22">
  <si>
    <t>Ticker</t>
  </si>
  <si>
    <t>Symbol Name</t>
  </si>
  <si>
    <t>Last Trade time</t>
  </si>
  <si>
    <t>Last Price</t>
  </si>
  <si>
    <t>Previous Day Price</t>
  </si>
  <si>
    <t>Change</t>
  </si>
  <si>
    <t>Change Pct</t>
  </si>
  <si>
    <t>Volume</t>
  </si>
  <si>
    <t>Volume Avg</t>
  </si>
  <si>
    <t>Shares</t>
  </si>
  <si>
    <t>Day High</t>
  </si>
  <si>
    <t>Day Low</t>
  </si>
  <si>
    <t>Market Cap</t>
  </si>
  <si>
    <t>P/E Ratio</t>
  </si>
  <si>
    <t>EPS</t>
  </si>
  <si>
    <t>AAPL</t>
  </si>
  <si>
    <t>AMZN</t>
  </si>
  <si>
    <t>SNOW</t>
  </si>
  <si>
    <t>TSLA</t>
  </si>
  <si>
    <t>META</t>
  </si>
  <si>
    <t>MSFT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</si>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</sst>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8.5"/>
    <col customWidth="1" min="3" max="3" width="25.0"/>
    <col customWidth="1" min="4" max="4" width="19.63"/>
    <col customWidth="1" min="5" max="5" width="25.0"/>
    <col customWidth="1" min="6" max="6" width="16.5"/>
    <col customWidth="1" min="10" max="10" width="12.75"/>
    <col customWidth="1" min="11" max="1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2" t="str">
        <f>IFERROR(__xludf.DUMMYFUNCTION("GOOGLEFINANCE(A2, ""name"")"),"Apple Inc")</f>
        <v>Apple Inc</v>
      </c>
      <c r="C2" s="3">
        <f>IFERROR(__xludf.DUMMYFUNCTION("GOOGLEFINANCE(A2, ""tradetime"")"),45643.66667824074)</f>
        <v>45643.66668</v>
      </c>
      <c r="D2" s="2">
        <f>IFERROR(__xludf.DUMMYFUNCTION("GOOGLEFINANCE(A2,""price"")"),253.48)</f>
        <v>253.48</v>
      </c>
      <c r="E2" s="2">
        <f>IFERROR(__xludf.DUMMYFUNCTION("GOOGLEFINANCE(A2,""closeyest"")"),251.04)</f>
        <v>251.04</v>
      </c>
      <c r="F2" s="2">
        <f>IFERROR(__xludf.DUMMYFUNCTION("GOOGLEFINANCE(A2, ""change"")"),2.44)</f>
        <v>2.44</v>
      </c>
      <c r="G2" s="2">
        <f>IFERROR(__xludf.DUMMYFUNCTION("GOOGLEFINANCE(A2, ""changepct"")"),0.97)</f>
        <v>0.97</v>
      </c>
      <c r="H2" s="2">
        <f>IFERROR(__xludf.DUMMYFUNCTION("GOOGLEFINANCE(A2, ""volume"")"),5.135636E7)</f>
        <v>51356360</v>
      </c>
      <c r="I2" s="2">
        <f>IFERROR(__xludf.DUMMYFUNCTION("GOOGLEFINANCE(A2, ""volumeavg"")"),4.2634925E7)</f>
        <v>42634925</v>
      </c>
      <c r="J2" s="2">
        <f>IFERROR(__xludf.DUMMYFUNCTION("GOOGLEFINANCE(A2, ""shares"")"),1.511582E10)</f>
        <v>15115820000</v>
      </c>
      <c r="K2" s="2">
        <f>IFERROR(__xludf.DUMMYFUNCTION("GOOGLEFINANCE(A2, ""high"")"),253.83)</f>
        <v>253.83</v>
      </c>
      <c r="L2" s="2">
        <f>IFERROR(__xludf.DUMMYFUNCTION("GOOGLEFINANCE(A2, ""low"")"),249.78)</f>
        <v>249.78</v>
      </c>
      <c r="M2" s="1">
        <f>IFERROR(__xludf.DUMMYFUNCTION("GOOGLEFINANCE(A2,""marketcap"")"),3.831557989018E12)</f>
        <v>3831557989018</v>
      </c>
      <c r="N2" s="2">
        <f>IFERROR(__xludf.DUMMYFUNCTION("GOOGLEFINANCE(A2, ""pe"")"),41.67)</f>
        <v>41.67</v>
      </c>
      <c r="O2" s="2">
        <f>IFERROR(__xludf.DUMMYFUNCTION("GOOGLEFINANCE(A2, ""eps"")"),6.08)</f>
        <v>6.08</v>
      </c>
    </row>
    <row r="3">
      <c r="A3" s="1" t="s">
        <v>16</v>
      </c>
      <c r="B3" s="2" t="str">
        <f>IFERROR(__xludf.DUMMYFUNCTION("GOOGLEFINANCE(A3, ""name"")"),"Amazon.com Inc")</f>
        <v>Amazon.com Inc</v>
      </c>
      <c r="C3" s="3">
        <f>IFERROR(__xludf.DUMMYFUNCTION("GOOGLEFINANCE(A3, ""tradetime"")"),45643.66667824074)</f>
        <v>45643.66668</v>
      </c>
      <c r="D3" s="2">
        <f>IFERROR(__xludf.DUMMYFUNCTION("GOOGLEFINANCE(A3,""price"")"),231.15)</f>
        <v>231.15</v>
      </c>
      <c r="E3" s="2">
        <f>IFERROR(__xludf.DUMMYFUNCTION("GOOGLEFINANCE(A3,""closeyest"")"),232.93)</f>
        <v>232.93</v>
      </c>
      <c r="F3" s="2">
        <f>IFERROR(__xludf.DUMMYFUNCTION("GOOGLEFINANCE(A3, ""change"")"),-1.78)</f>
        <v>-1.78</v>
      </c>
      <c r="G3" s="2">
        <f>IFERROR(__xludf.DUMMYFUNCTION("GOOGLEFINANCE(A3, ""changepct"")"),-0.76)</f>
        <v>-0.76</v>
      </c>
      <c r="H3" s="2">
        <f>IFERROR(__xludf.DUMMYFUNCTION("GOOGLEFINANCE(A3, ""volume"")"),3.5948131E7)</f>
        <v>35948131</v>
      </c>
      <c r="I3" s="2">
        <f>IFERROR(__xludf.DUMMYFUNCTION("GOOGLEFINANCE(A3, ""volumeavg"")"),4.0666005E7)</f>
        <v>40666005</v>
      </c>
      <c r="J3" s="2">
        <f>IFERROR(__xludf.DUMMYFUNCTION("GOOGLEFINANCE(A3, ""shares"")"),1.051501E10)</f>
        <v>10515010000</v>
      </c>
      <c r="K3" s="2">
        <f>IFERROR(__xludf.DUMMYFUNCTION("GOOGLEFINANCE(A3, ""high"")"),232.73)</f>
        <v>232.73</v>
      </c>
      <c r="L3" s="2">
        <f>IFERROR(__xludf.DUMMYFUNCTION("GOOGLEFINANCE(A3, ""low"")"),227.85)</f>
        <v>227.85</v>
      </c>
      <c r="M3" s="1">
        <f>IFERROR(__xludf.DUMMYFUNCTION("GOOGLEFINANCE(A3,""marketcap"")"),2.430544497321E12)</f>
        <v>2430544497321</v>
      </c>
      <c r="N3" s="2">
        <f>IFERROR(__xludf.DUMMYFUNCTION("GOOGLEFINANCE(A3, ""pe"")"),49.54)</f>
        <v>49.54</v>
      </c>
      <c r="O3" s="2">
        <f>IFERROR(__xludf.DUMMYFUNCTION("GOOGLEFINANCE(A3, ""eps"")"),4.67)</f>
        <v>4.67</v>
      </c>
    </row>
    <row r="4">
      <c r="A4" s="1" t="s">
        <v>17</v>
      </c>
      <c r="B4" s="2" t="str">
        <f>IFERROR(__xludf.DUMMYFUNCTION("GOOGLEFINANCE(A4, ""name"")"),"Snowflake Inc")</f>
        <v>Snowflake Inc</v>
      </c>
      <c r="C4" s="3">
        <f>IFERROR(__xludf.DUMMYFUNCTION("GOOGLEFINANCE(A4, ""tradetime"")"),45643.666712962964)</f>
        <v>45643.66671</v>
      </c>
      <c r="D4" s="2">
        <f>IFERROR(__xludf.DUMMYFUNCTION("GOOGLEFINANCE(A4,""price"")"),170.81)</f>
        <v>170.81</v>
      </c>
      <c r="E4" s="2">
        <f>IFERROR(__xludf.DUMMYFUNCTION("GOOGLEFINANCE(A4,""closeyest"")"),172.47)</f>
        <v>172.47</v>
      </c>
      <c r="F4" s="2">
        <f>IFERROR(__xludf.DUMMYFUNCTION("GOOGLEFINANCE(A4, ""change"")"),-1.66)</f>
        <v>-1.66</v>
      </c>
      <c r="G4" s="2">
        <f>IFERROR(__xludf.DUMMYFUNCTION("GOOGLEFINANCE(A4, ""changepct"")"),-0.96)</f>
        <v>-0.96</v>
      </c>
      <c r="H4" s="2">
        <f>IFERROR(__xludf.DUMMYFUNCTION("GOOGLEFINANCE(A4, ""volume"")"),0.0)</f>
        <v>0</v>
      </c>
      <c r="I4" s="2">
        <f>IFERROR(__xludf.DUMMYFUNCTION("GOOGLEFINANCE(A4, ""volumeavg"")"),8738859.0)</f>
        <v>8738859</v>
      </c>
      <c r="J4" s="2">
        <f>IFERROR(__xludf.DUMMYFUNCTION("GOOGLEFINANCE(A4, ""shares"")"),3.301E8)</f>
        <v>330100000</v>
      </c>
      <c r="K4" s="2">
        <f>IFERROR(__xludf.DUMMYFUNCTION("GOOGLEFINANCE(A4, ""high"")"),172.65)</f>
        <v>172.65</v>
      </c>
      <c r="L4" s="2">
        <f>IFERROR(__xludf.DUMMYFUNCTION("GOOGLEFINANCE(A4, ""low"")"),169.24)</f>
        <v>169.24</v>
      </c>
      <c r="M4" s="1">
        <f>IFERROR(__xludf.DUMMYFUNCTION("GOOGLEFINANCE(A4,""marketcap"")"),5.6384380194E10)</f>
        <v>56384380194</v>
      </c>
      <c r="N4" s="2" t="str">
        <f>IFERROR(__xludf.DUMMYFUNCTION("GOOGLEFINANCE(A4, ""pe"")"),"#N/A")</f>
        <v>#N/A</v>
      </c>
      <c r="O4" s="2">
        <f>IFERROR(__xludf.DUMMYFUNCTION("GOOGLEFINANCE(A4, ""eps"")"),-3.39)</f>
        <v>-3.39</v>
      </c>
    </row>
    <row r="5">
      <c r="A5" s="1" t="s">
        <v>18</v>
      </c>
      <c r="B5" s="2" t="str">
        <f>IFERROR(__xludf.DUMMYFUNCTION("GOOGLEFINANCE(A5, ""name"")"),"Tesla Inc")</f>
        <v>Tesla Inc</v>
      </c>
      <c r="C5" s="3">
        <f>IFERROR(__xludf.DUMMYFUNCTION("GOOGLEFINANCE(A5, ""tradetime"")"),45643.66666666667)</f>
        <v>45643.66667</v>
      </c>
      <c r="D5" s="2">
        <f>IFERROR(__xludf.DUMMYFUNCTION("GOOGLEFINANCE(A5,""price"")"),479.86)</f>
        <v>479.86</v>
      </c>
      <c r="E5" s="2">
        <f>IFERROR(__xludf.DUMMYFUNCTION("GOOGLEFINANCE(A5,""closeyest"")"),463.02)</f>
        <v>463.02</v>
      </c>
      <c r="F5" s="2">
        <f>IFERROR(__xludf.DUMMYFUNCTION("GOOGLEFINANCE(A5, ""change"")"),16.84)</f>
        <v>16.84</v>
      </c>
      <c r="G5" s="2">
        <f>IFERROR(__xludf.DUMMYFUNCTION("GOOGLEFINANCE(A5, ""changepct"")"),3.64)</f>
        <v>3.64</v>
      </c>
      <c r="H5" s="2">
        <f>IFERROR(__xludf.DUMMYFUNCTION("GOOGLEFINANCE(A5, ""volume"")"),1.31222978E8)</f>
        <v>131222978</v>
      </c>
      <c r="I5" s="2">
        <f>IFERROR(__xludf.DUMMYFUNCTION("GOOGLEFINANCE(A5, ""volumeavg"")"),9.9111278E7)</f>
        <v>99111278</v>
      </c>
      <c r="J5" s="2">
        <f>IFERROR(__xludf.DUMMYFUNCTION("GOOGLEFINANCE(A5, ""shares"")"),3.21006E9)</f>
        <v>3210060000</v>
      </c>
      <c r="K5" s="2">
        <f>IFERROR(__xludf.DUMMYFUNCTION("GOOGLEFINANCE(A5, ""high"")"),483.99)</f>
        <v>483.99</v>
      </c>
      <c r="L5" s="2">
        <f>IFERROR(__xludf.DUMMYFUNCTION("GOOGLEFINANCE(A5, ""low"")"),457.51)</f>
        <v>457.51</v>
      </c>
      <c r="M5" s="1">
        <f>IFERROR(__xludf.DUMMYFUNCTION("GOOGLEFINANCE(A5,""marketcap"")"),1.503626868299E12)</f>
        <v>1503626868299</v>
      </c>
      <c r="N5" s="2">
        <f>IFERROR(__xludf.DUMMYFUNCTION("GOOGLEFINANCE(A5, ""pe"")"),131.57)</f>
        <v>131.57</v>
      </c>
      <c r="O5" s="2">
        <f>IFERROR(__xludf.DUMMYFUNCTION("GOOGLEFINANCE(A5, ""eps"")"),3.65)</f>
        <v>3.65</v>
      </c>
    </row>
    <row r="6">
      <c r="A6" s="1" t="s">
        <v>19</v>
      </c>
      <c r="B6" s="2" t="str">
        <f>IFERROR(__xludf.DUMMYFUNCTION("GOOGLEFINANCE(A6, ""name"")"),"Meta Platforms Inc")</f>
        <v>Meta Platforms Inc</v>
      </c>
      <c r="C6" s="3">
        <f>IFERROR(__xludf.DUMMYFUNCTION("GOOGLEFINANCE(A6, ""tradetime"")"),45643.66668981481)</f>
        <v>45643.66669</v>
      </c>
      <c r="D6" s="2">
        <f>IFERROR(__xludf.DUMMYFUNCTION("GOOGLEFINANCE(A6,""price"")"),619.44)</f>
        <v>619.44</v>
      </c>
      <c r="E6" s="2">
        <f>IFERROR(__xludf.DUMMYFUNCTION("GOOGLEFINANCE(A6,""closeyest"")"),624.24)</f>
        <v>624.24</v>
      </c>
      <c r="F6" s="2">
        <f>IFERROR(__xludf.DUMMYFUNCTION("GOOGLEFINANCE(A6, ""change"")"),-4.8)</f>
        <v>-4.8</v>
      </c>
      <c r="G6" s="2">
        <f>IFERROR(__xludf.DUMMYFUNCTION("GOOGLEFINANCE(A6, ""changepct"")"),-0.77)</f>
        <v>-0.77</v>
      </c>
      <c r="H6" s="2">
        <f>IFERROR(__xludf.DUMMYFUNCTION("GOOGLEFINANCE(A6, ""volume"")"),1.2897842E7)</f>
        <v>12897842</v>
      </c>
      <c r="I6" s="2">
        <f>IFERROR(__xludf.DUMMYFUNCTION("GOOGLEFINANCE(A6, ""volumeavg"")"),1.1655538E7)</f>
        <v>11655538</v>
      </c>
      <c r="J6" s="2">
        <f>IFERROR(__xludf.DUMMYFUNCTION("GOOGLEFINANCE(A6, ""shares"")"),2.180001E9)</f>
        <v>2180001000</v>
      </c>
      <c r="K6" s="2">
        <f>IFERROR(__xludf.DUMMYFUNCTION("GOOGLEFINANCE(A6, ""high"")"),632.37)</f>
        <v>632.37</v>
      </c>
      <c r="L6" s="2">
        <f>IFERROR(__xludf.DUMMYFUNCTION("GOOGLEFINANCE(A6, ""low"")"),616.54)</f>
        <v>616.54</v>
      </c>
      <c r="M6" s="1">
        <f>IFERROR(__xludf.DUMMYFUNCTION("GOOGLEFINANCE(A6,""marketcap"")"),1.563768852883E12)</f>
        <v>1563768852883</v>
      </c>
      <c r="N6" s="2">
        <f>IFERROR(__xludf.DUMMYFUNCTION("GOOGLEFINANCE(A6, ""pe"")"),29.22)</f>
        <v>29.22</v>
      </c>
      <c r="O6" s="2">
        <f>IFERROR(__xludf.DUMMYFUNCTION("GOOGLEFINANCE(A6, ""eps"")"),21.2)</f>
        <v>21.2</v>
      </c>
    </row>
    <row r="7">
      <c r="A7" s="1" t="s">
        <v>20</v>
      </c>
      <c r="B7" s="2" t="str">
        <f>IFERROR(__xludf.DUMMYFUNCTION("GOOGLEFINANCE(A7, ""name"")"),"Microsoft Corp")</f>
        <v>Microsoft Corp</v>
      </c>
      <c r="C7" s="3">
        <f>IFERROR(__xludf.DUMMYFUNCTION("GOOGLEFINANCE(A7, ""tradetime"")"),45643.66667824074)</f>
        <v>45643.66668</v>
      </c>
      <c r="D7" s="2">
        <f>IFERROR(__xludf.DUMMYFUNCTION("GOOGLEFINANCE(A7,""price"")"),454.46)</f>
        <v>454.46</v>
      </c>
      <c r="E7" s="2">
        <f>IFERROR(__xludf.DUMMYFUNCTION("GOOGLEFINANCE(A7,""closeyest"")"),451.59)</f>
        <v>451.59</v>
      </c>
      <c r="F7" s="2">
        <f>IFERROR(__xludf.DUMMYFUNCTION("GOOGLEFINANCE(A7, ""change"")"),2.87)</f>
        <v>2.87</v>
      </c>
      <c r="G7" s="2">
        <f>IFERROR(__xludf.DUMMYFUNCTION("GOOGLEFINANCE(A7, ""changepct"")"),0.64)</f>
        <v>0.64</v>
      </c>
      <c r="H7" s="2">
        <f>IFERROR(__xludf.DUMMYFUNCTION("GOOGLEFINANCE(A7, ""volume"")"),2.2733494E7)</f>
        <v>22733494</v>
      </c>
      <c r="I7" s="2">
        <f>IFERROR(__xludf.DUMMYFUNCTION("GOOGLEFINANCE(A7, ""volumeavg"")"),2.1485095E7)</f>
        <v>21485095</v>
      </c>
      <c r="J7" s="2">
        <f>IFERROR(__xludf.DUMMYFUNCTION("GOOGLEFINANCE(A7, ""shares"")"),7.434881E9)</f>
        <v>7434881000</v>
      </c>
      <c r="K7" s="2">
        <f>IFERROR(__xludf.DUMMYFUNCTION("GOOGLEFINANCE(A7, ""high"")"),455.29)</f>
        <v>455.29</v>
      </c>
      <c r="L7" s="2">
        <f>IFERROR(__xludf.DUMMYFUNCTION("GOOGLEFINANCE(A7, ""low"")"),449.57)</f>
        <v>449.57</v>
      </c>
      <c r="M7" s="1">
        <f>IFERROR(__xludf.DUMMYFUNCTION("GOOGLEFINANCE(A7,""marketcap"")"),3.378855955729E12)</f>
        <v>3378855955729</v>
      </c>
      <c r="N7" s="2">
        <f>IFERROR(__xludf.DUMMYFUNCTION("GOOGLEFINANCE(A7, ""pe"")"),37.51)</f>
        <v>37.51</v>
      </c>
      <c r="O7" s="2">
        <f>IFERROR(__xludf.DUMMYFUNCTION("GOOGLEFINANCE(A7, ""eps"")"),12.11)</f>
        <v>12.11</v>
      </c>
    </row>
    <row r="8">
      <c r="A8" s="1" t="s">
        <v>21</v>
      </c>
      <c r="B8" s="2" t="str">
        <f>IFERROR(__xludf.DUMMYFUNCTION("GOOGLEFINANCE(A8, ""name"")"),"Alphabet Inc Class C")</f>
        <v>Alphabet Inc Class C</v>
      </c>
      <c r="C8" s="3">
        <f>IFERROR(__xludf.DUMMYFUNCTION("GOOGLEFINANCE(A8, ""tradetime"")"),45643.66667824074)</f>
        <v>45643.66668</v>
      </c>
      <c r="D8" s="2">
        <f>IFERROR(__xludf.DUMMYFUNCTION("GOOGLEFINANCE(A8,""price"")"),197.12)</f>
        <v>197.12</v>
      </c>
      <c r="E8" s="2">
        <f>IFERROR(__xludf.DUMMYFUNCTION("GOOGLEFINANCE(A8,""closeyest"")"),198.16)</f>
        <v>198.16</v>
      </c>
      <c r="F8" s="2">
        <f>IFERROR(__xludf.DUMMYFUNCTION("GOOGLEFINANCE(A8, ""change"")"),-1.04)</f>
        <v>-1.04</v>
      </c>
      <c r="G8" s="2">
        <f>IFERROR(__xludf.DUMMYFUNCTION("GOOGLEFINANCE(A8, ""changepct"")"),-0.52)</f>
        <v>-0.52</v>
      </c>
      <c r="H8" s="2">
        <f>IFERROR(__xludf.DUMMYFUNCTION("GOOGLEFINANCE(A8, ""volume"")"),2.4129481E7)</f>
        <v>24129481</v>
      </c>
      <c r="I8" s="2">
        <f>IFERROR(__xludf.DUMMYFUNCTION("GOOGLEFINANCE(A8, ""volumeavg"")"),1.9703978E7)</f>
        <v>19703978</v>
      </c>
      <c r="J8" s="2">
        <f>IFERROR(__xludf.DUMMYFUNCTION("GOOGLEFINANCE(A8, ""shares"")"),5.534E9)</f>
        <v>5534000000</v>
      </c>
      <c r="K8" s="2">
        <f>IFERROR(__xludf.DUMMYFUNCTION("GOOGLEFINANCE(A8, ""high"")"),202.88)</f>
        <v>202.88</v>
      </c>
      <c r="L8" s="2">
        <f>IFERROR(__xludf.DUMMYFUNCTION("GOOGLEFINANCE(A8, ""low"")"),196.69)</f>
        <v>196.69</v>
      </c>
      <c r="M8" s="1">
        <f>IFERROR(__xludf.DUMMYFUNCTION("GOOGLEFINANCE(A8,""marketcap"")"),2.400382921508E12)</f>
        <v>2400382921508</v>
      </c>
      <c r="N8" s="2">
        <f>IFERROR(__xludf.DUMMYFUNCTION("GOOGLEFINANCE(A8, ""pe"")"),26.15)</f>
        <v>26.15</v>
      </c>
      <c r="O8" s="2">
        <f>IFERROR(__xludf.DUMMYFUNCTION("GOOGLEFINANCE(A8, ""eps"")"),7.54)</f>
        <v>7.54</v>
      </c>
    </row>
    <row r="39">
      <c r="L3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2" t="str">
        <f>IFERROR(__xludf.DUMMYFUNCTION("GOOGLEFINANCE(""AAPL"",""all"",DATE(2023,1,1),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IFERROR(__xludf.DUMMYFUNCTION("""COMPUTED_VALUE"""),130.28)</f>
        <v>130.28</v>
      </c>
      <c r="C2" s="2">
        <f>IFERROR(__xludf.DUMMYFUNCTION("""COMPUTED_VALUE"""),130.9)</f>
        <v>130.9</v>
      </c>
      <c r="D2" s="2">
        <f>IFERROR(__xludf.DUMMYFUNCTION("""COMPUTED_VALUE"""),124.17)</f>
        <v>124.17</v>
      </c>
      <c r="E2" s="2">
        <f>IFERROR(__xludf.DUMMYFUNCTION("""COMPUTED_VALUE"""),125.07)</f>
        <v>125.07</v>
      </c>
      <c r="F2" s="2">
        <f>IFERROR(__xludf.DUMMYFUNCTION("""COMPUTED_VALUE"""),1.12117471E8)</f>
        <v>112117471</v>
      </c>
    </row>
    <row r="3">
      <c r="A3" s="3">
        <f>IFERROR(__xludf.DUMMYFUNCTION("""COMPUTED_VALUE"""),44930.66666666667)</f>
        <v>44930.66667</v>
      </c>
      <c r="B3" s="2">
        <f>IFERROR(__xludf.DUMMYFUNCTION("""COMPUTED_VALUE"""),126.89)</f>
        <v>126.89</v>
      </c>
      <c r="C3" s="2">
        <f>IFERROR(__xludf.DUMMYFUNCTION("""COMPUTED_VALUE"""),128.66)</f>
        <v>128.66</v>
      </c>
      <c r="D3" s="2">
        <f>IFERROR(__xludf.DUMMYFUNCTION("""COMPUTED_VALUE"""),125.08)</f>
        <v>125.08</v>
      </c>
      <c r="E3" s="2">
        <f>IFERROR(__xludf.DUMMYFUNCTION("""COMPUTED_VALUE"""),126.36)</f>
        <v>126.36</v>
      </c>
      <c r="F3" s="2">
        <f>IFERROR(__xludf.DUMMYFUNCTION("""COMPUTED_VALUE"""),8.9113633E7)</f>
        <v>89113633</v>
      </c>
    </row>
    <row r="4">
      <c r="A4" s="3">
        <f>IFERROR(__xludf.DUMMYFUNCTION("""COMPUTED_VALUE"""),44931.66666666667)</f>
        <v>44931.66667</v>
      </c>
      <c r="B4" s="2">
        <f>IFERROR(__xludf.DUMMYFUNCTION("""COMPUTED_VALUE"""),127.13)</f>
        <v>127.13</v>
      </c>
      <c r="C4" s="2">
        <f>IFERROR(__xludf.DUMMYFUNCTION("""COMPUTED_VALUE"""),127.77)</f>
        <v>127.77</v>
      </c>
      <c r="D4" s="2">
        <f>IFERROR(__xludf.DUMMYFUNCTION("""COMPUTED_VALUE"""),124.76)</f>
        <v>124.76</v>
      </c>
      <c r="E4" s="2">
        <f>IFERROR(__xludf.DUMMYFUNCTION("""COMPUTED_VALUE"""),125.02)</f>
        <v>125.02</v>
      </c>
      <c r="F4" s="2">
        <f>IFERROR(__xludf.DUMMYFUNCTION("""COMPUTED_VALUE"""),8.0962708E7)</f>
        <v>80962708</v>
      </c>
    </row>
    <row r="5">
      <c r="A5" s="3">
        <f>IFERROR(__xludf.DUMMYFUNCTION("""COMPUTED_VALUE"""),44932.66666666667)</f>
        <v>44932.66667</v>
      </c>
      <c r="B5" s="2">
        <f>IFERROR(__xludf.DUMMYFUNCTION("""COMPUTED_VALUE"""),126.01)</f>
        <v>126.01</v>
      </c>
      <c r="C5" s="2">
        <f>IFERROR(__xludf.DUMMYFUNCTION("""COMPUTED_VALUE"""),130.29)</f>
        <v>130.29</v>
      </c>
      <c r="D5" s="2">
        <f>IFERROR(__xludf.DUMMYFUNCTION("""COMPUTED_VALUE"""),124.89)</f>
        <v>124.89</v>
      </c>
      <c r="E5" s="2">
        <f>IFERROR(__xludf.DUMMYFUNCTION("""COMPUTED_VALUE"""),129.62)</f>
        <v>129.62</v>
      </c>
      <c r="F5" s="2">
        <f>IFERROR(__xludf.DUMMYFUNCTION("""COMPUTED_VALUE"""),8.7754715E7)</f>
        <v>87754715</v>
      </c>
    </row>
    <row r="6">
      <c r="A6" s="3">
        <f>IFERROR(__xludf.DUMMYFUNCTION("""COMPUTED_VALUE"""),44935.66666666667)</f>
        <v>44935.66667</v>
      </c>
      <c r="B6" s="2">
        <f>IFERROR(__xludf.DUMMYFUNCTION("""COMPUTED_VALUE"""),130.47)</f>
        <v>130.47</v>
      </c>
      <c r="C6" s="2">
        <f>IFERROR(__xludf.DUMMYFUNCTION("""COMPUTED_VALUE"""),133.41)</f>
        <v>133.41</v>
      </c>
      <c r="D6" s="2">
        <f>IFERROR(__xludf.DUMMYFUNCTION("""COMPUTED_VALUE"""),129.89)</f>
        <v>129.89</v>
      </c>
      <c r="E6" s="2">
        <f>IFERROR(__xludf.DUMMYFUNCTION("""COMPUTED_VALUE"""),130.15)</f>
        <v>130.15</v>
      </c>
      <c r="F6" s="2">
        <f>IFERROR(__xludf.DUMMYFUNCTION("""COMPUTED_VALUE"""),7.0790813E7)</f>
        <v>70790813</v>
      </c>
    </row>
    <row r="7">
      <c r="A7" s="3">
        <f>IFERROR(__xludf.DUMMYFUNCTION("""COMPUTED_VALUE"""),44936.66666666667)</f>
        <v>44936.66667</v>
      </c>
      <c r="B7" s="2">
        <f>IFERROR(__xludf.DUMMYFUNCTION("""COMPUTED_VALUE"""),130.26)</f>
        <v>130.26</v>
      </c>
      <c r="C7" s="2">
        <f>IFERROR(__xludf.DUMMYFUNCTION("""COMPUTED_VALUE"""),131.26)</f>
        <v>131.26</v>
      </c>
      <c r="D7" s="2">
        <f>IFERROR(__xludf.DUMMYFUNCTION("""COMPUTED_VALUE"""),128.12)</f>
        <v>128.12</v>
      </c>
      <c r="E7" s="2">
        <f>IFERROR(__xludf.DUMMYFUNCTION("""COMPUTED_VALUE"""),130.73)</f>
        <v>130.73</v>
      </c>
      <c r="F7" s="2">
        <f>IFERROR(__xludf.DUMMYFUNCTION("""COMPUTED_VALUE"""),6.3896155E7)</f>
        <v>63896155</v>
      </c>
    </row>
    <row r="8">
      <c r="A8" s="3">
        <f>IFERROR(__xludf.DUMMYFUNCTION("""COMPUTED_VALUE"""),44937.66666666667)</f>
        <v>44937.66667</v>
      </c>
      <c r="B8" s="2">
        <f>IFERROR(__xludf.DUMMYFUNCTION("""COMPUTED_VALUE"""),131.25)</f>
        <v>131.25</v>
      </c>
      <c r="C8" s="2">
        <f>IFERROR(__xludf.DUMMYFUNCTION("""COMPUTED_VALUE"""),133.51)</f>
        <v>133.51</v>
      </c>
      <c r="D8" s="2">
        <f>IFERROR(__xludf.DUMMYFUNCTION("""COMPUTED_VALUE"""),130.46)</f>
        <v>130.46</v>
      </c>
      <c r="E8" s="2">
        <f>IFERROR(__xludf.DUMMYFUNCTION("""COMPUTED_VALUE"""),133.49)</f>
        <v>133.49</v>
      </c>
      <c r="F8" s="2">
        <f>IFERROR(__xludf.DUMMYFUNCTION("""COMPUTED_VALUE"""),6.9458949E7)</f>
        <v>69458949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IFERROR(__xludf.DUMMYFUNCTION("""COMPUTED_VALUE"""),133.88)</f>
        <v>133.88</v>
      </c>
      <c r="C9" s="2">
        <f>IFERROR(__xludf.DUMMYFUNCTION("""COMPUTED_VALUE"""),134.26)</f>
        <v>134.26</v>
      </c>
      <c r="D9" s="2">
        <f>IFERROR(__xludf.DUMMYFUNCTION("""COMPUTED_VALUE"""),131.44)</f>
        <v>131.44</v>
      </c>
      <c r="E9" s="2">
        <f>IFERROR(__xludf.DUMMYFUNCTION("""COMPUTED_VALUE"""),133.41)</f>
        <v>133.41</v>
      </c>
      <c r="F9" s="2">
        <f>IFERROR(__xludf.DUMMYFUNCTION("""COMPUTED_VALUE"""),7.1379648E7)</f>
        <v>71379648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IFERROR(__xludf.DUMMYFUNCTION("""COMPUTED_VALUE"""),132.03)</f>
        <v>132.03</v>
      </c>
      <c r="C10" s="2">
        <f>IFERROR(__xludf.DUMMYFUNCTION("""COMPUTED_VALUE"""),134.92)</f>
        <v>134.92</v>
      </c>
      <c r="D10" s="2">
        <f>IFERROR(__xludf.DUMMYFUNCTION("""COMPUTED_VALUE"""),131.66)</f>
        <v>131.66</v>
      </c>
      <c r="E10" s="2">
        <f>IFERROR(__xludf.DUMMYFUNCTION("""COMPUTED_VALUE"""),134.76)</f>
        <v>134.76</v>
      </c>
      <c r="F10" s="2">
        <f>IFERROR(__xludf.DUMMYFUNCTION("""COMPUTED_VALUE"""),5.7809719E7)</f>
        <v>57809719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IFERROR(__xludf.DUMMYFUNCTION("""COMPUTED_VALUE"""),134.83)</f>
        <v>134.83</v>
      </c>
      <c r="C11" s="2">
        <f>IFERROR(__xludf.DUMMYFUNCTION("""COMPUTED_VALUE"""),137.29)</f>
        <v>137.29</v>
      </c>
      <c r="D11" s="2">
        <f>IFERROR(__xludf.DUMMYFUNCTION("""COMPUTED_VALUE"""),134.13)</f>
        <v>134.13</v>
      </c>
      <c r="E11" s="2">
        <f>IFERROR(__xludf.DUMMYFUNCTION("""COMPUTED_VALUE"""),135.94)</f>
        <v>135.94</v>
      </c>
      <c r="F11" s="2">
        <f>IFERROR(__xludf.DUMMYFUNCTION("""COMPUTED_VALUE"""),6.3646627E7)</f>
        <v>63646627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IFERROR(__xludf.DUMMYFUNCTION("""COMPUTED_VALUE"""),136.82)</f>
        <v>136.82</v>
      </c>
      <c r="C12" s="2">
        <f>IFERROR(__xludf.DUMMYFUNCTION("""COMPUTED_VALUE"""),138.61)</f>
        <v>138.61</v>
      </c>
      <c r="D12" s="2">
        <f>IFERROR(__xludf.DUMMYFUNCTION("""COMPUTED_VALUE"""),135.03)</f>
        <v>135.03</v>
      </c>
      <c r="E12" s="2">
        <f>IFERROR(__xludf.DUMMYFUNCTION("""COMPUTED_VALUE"""),135.21)</f>
        <v>135.21</v>
      </c>
      <c r="F12" s="2">
        <f>IFERROR(__xludf.DUMMYFUNCTION("""COMPUTED_VALUE"""),6.96728E7)</f>
        <v>69672800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IFERROR(__xludf.DUMMYFUNCTION("""COMPUTED_VALUE"""),134.08)</f>
        <v>134.08</v>
      </c>
      <c r="C13" s="2">
        <f>IFERROR(__xludf.DUMMYFUNCTION("""COMPUTED_VALUE"""),136.25)</f>
        <v>136.25</v>
      </c>
      <c r="D13" s="2">
        <f>IFERROR(__xludf.DUMMYFUNCTION("""COMPUTED_VALUE"""),133.77)</f>
        <v>133.77</v>
      </c>
      <c r="E13" s="2">
        <f>IFERROR(__xludf.DUMMYFUNCTION("""COMPUTED_VALUE"""),135.27)</f>
        <v>135.27</v>
      </c>
      <c r="F13" s="2">
        <f>IFERROR(__xludf.DUMMYFUNCTION("""COMPUTED_VALUE"""),5.8280413E7)</f>
        <v>58280413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IFERROR(__xludf.DUMMYFUNCTION("""COMPUTED_VALUE"""),135.28)</f>
        <v>135.28</v>
      </c>
      <c r="C14" s="2">
        <f>IFERROR(__xludf.DUMMYFUNCTION("""COMPUTED_VALUE"""),138.02)</f>
        <v>138.02</v>
      </c>
      <c r="D14" s="2">
        <f>IFERROR(__xludf.DUMMYFUNCTION("""COMPUTED_VALUE"""),134.22)</f>
        <v>134.22</v>
      </c>
      <c r="E14" s="2">
        <f>IFERROR(__xludf.DUMMYFUNCTION("""COMPUTED_VALUE"""),137.87)</f>
        <v>137.87</v>
      </c>
      <c r="F14" s="2">
        <f>IFERROR(__xludf.DUMMYFUNCTION("""COMPUTED_VALUE"""),8.0223626E7)</f>
        <v>80223626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IFERROR(__xludf.DUMMYFUNCTION("""COMPUTED_VALUE"""),138.12)</f>
        <v>138.12</v>
      </c>
      <c r="C15" s="2">
        <f>IFERROR(__xludf.DUMMYFUNCTION("""COMPUTED_VALUE"""),143.32)</f>
        <v>143.32</v>
      </c>
      <c r="D15" s="2">
        <f>IFERROR(__xludf.DUMMYFUNCTION("""COMPUTED_VALUE"""),137.9)</f>
        <v>137.9</v>
      </c>
      <c r="E15" s="2">
        <f>IFERROR(__xludf.DUMMYFUNCTION("""COMPUTED_VALUE"""),141.11)</f>
        <v>141.11</v>
      </c>
      <c r="F15" s="2">
        <f>IFERROR(__xludf.DUMMYFUNCTION("""COMPUTED_VALUE"""),8.1760313E7)</f>
        <v>81760313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IFERROR(__xludf.DUMMYFUNCTION("""COMPUTED_VALUE"""),140.31)</f>
        <v>140.31</v>
      </c>
      <c r="C16" s="2">
        <f>IFERROR(__xludf.DUMMYFUNCTION("""COMPUTED_VALUE"""),143.16)</f>
        <v>143.16</v>
      </c>
      <c r="D16" s="2">
        <f>IFERROR(__xludf.DUMMYFUNCTION("""COMPUTED_VALUE"""),140.3)</f>
        <v>140.3</v>
      </c>
      <c r="E16" s="2">
        <f>IFERROR(__xludf.DUMMYFUNCTION("""COMPUTED_VALUE"""),142.53)</f>
        <v>142.53</v>
      </c>
      <c r="F16" s="2">
        <f>IFERROR(__xludf.DUMMYFUNCTION("""COMPUTED_VALUE"""),6.6435142E7)</f>
        <v>66435142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IFERROR(__xludf.DUMMYFUNCTION("""COMPUTED_VALUE"""),140.89)</f>
        <v>140.89</v>
      </c>
      <c r="C17" s="2">
        <f>IFERROR(__xludf.DUMMYFUNCTION("""COMPUTED_VALUE"""),142.43)</f>
        <v>142.43</v>
      </c>
      <c r="D17" s="2">
        <f>IFERROR(__xludf.DUMMYFUNCTION("""COMPUTED_VALUE"""),138.81)</f>
        <v>138.81</v>
      </c>
      <c r="E17" s="2">
        <f>IFERROR(__xludf.DUMMYFUNCTION("""COMPUTED_VALUE"""),141.86)</f>
        <v>141.86</v>
      </c>
      <c r="F17" s="2">
        <f>IFERROR(__xludf.DUMMYFUNCTION("""COMPUTED_VALUE"""),6.5799349E7)</f>
        <v>65799349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IFERROR(__xludf.DUMMYFUNCTION("""COMPUTED_VALUE"""),143.17)</f>
        <v>143.17</v>
      </c>
      <c r="C18" s="2">
        <f>IFERROR(__xludf.DUMMYFUNCTION("""COMPUTED_VALUE"""),144.25)</f>
        <v>144.25</v>
      </c>
      <c r="D18" s="2">
        <f>IFERROR(__xludf.DUMMYFUNCTION("""COMPUTED_VALUE"""),141.9)</f>
        <v>141.9</v>
      </c>
      <c r="E18" s="2">
        <f>IFERROR(__xludf.DUMMYFUNCTION("""COMPUTED_VALUE"""),143.96)</f>
        <v>143.96</v>
      </c>
      <c r="F18" s="2">
        <f>IFERROR(__xludf.DUMMYFUNCTION("""COMPUTED_VALUE"""),5.4105068E7)</f>
        <v>54105068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IFERROR(__xludf.DUMMYFUNCTION("""COMPUTED_VALUE"""),143.16)</f>
        <v>143.16</v>
      </c>
      <c r="C19" s="2">
        <f>IFERROR(__xludf.DUMMYFUNCTION("""COMPUTED_VALUE"""),147.23)</f>
        <v>147.23</v>
      </c>
      <c r="D19" s="2">
        <f>IFERROR(__xludf.DUMMYFUNCTION("""COMPUTED_VALUE"""),143.08)</f>
        <v>143.08</v>
      </c>
      <c r="E19" s="2">
        <f>IFERROR(__xludf.DUMMYFUNCTION("""COMPUTED_VALUE"""),145.93)</f>
        <v>145.93</v>
      </c>
      <c r="F19" s="2">
        <f>IFERROR(__xludf.DUMMYFUNCTION("""COMPUTED_VALUE"""),7.0555843E7)</f>
        <v>70555843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IFERROR(__xludf.DUMMYFUNCTION("""COMPUTED_VALUE"""),144.96)</f>
        <v>144.96</v>
      </c>
      <c r="C20" s="2">
        <f>IFERROR(__xludf.DUMMYFUNCTION("""COMPUTED_VALUE"""),145.55)</f>
        <v>145.55</v>
      </c>
      <c r="D20" s="2">
        <f>IFERROR(__xludf.DUMMYFUNCTION("""COMPUTED_VALUE"""),142.85)</f>
        <v>142.85</v>
      </c>
      <c r="E20" s="2">
        <f>IFERROR(__xludf.DUMMYFUNCTION("""COMPUTED_VALUE"""),143.0)</f>
        <v>143</v>
      </c>
      <c r="F20" s="2">
        <f>IFERROR(__xludf.DUMMYFUNCTION("""COMPUTED_VALUE"""),6.4015274E7)</f>
        <v>64015274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IFERROR(__xludf.DUMMYFUNCTION("""COMPUTED_VALUE"""),142.7)</f>
        <v>142.7</v>
      </c>
      <c r="C21" s="2">
        <f>IFERROR(__xludf.DUMMYFUNCTION("""COMPUTED_VALUE"""),144.34)</f>
        <v>144.34</v>
      </c>
      <c r="D21" s="2">
        <f>IFERROR(__xludf.DUMMYFUNCTION("""COMPUTED_VALUE"""),142.28)</f>
        <v>142.28</v>
      </c>
      <c r="E21" s="2">
        <f>IFERROR(__xludf.DUMMYFUNCTION("""COMPUTED_VALUE"""),144.29)</f>
        <v>144.29</v>
      </c>
      <c r="F21" s="2">
        <f>IFERROR(__xludf.DUMMYFUNCTION("""COMPUTED_VALUE"""),6.5874459E7)</f>
        <v>65874459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IFERROR(__xludf.DUMMYFUNCTION("""COMPUTED_VALUE"""),143.97)</f>
        <v>143.97</v>
      </c>
      <c r="C22" s="2">
        <f>IFERROR(__xludf.DUMMYFUNCTION("""COMPUTED_VALUE"""),146.61)</f>
        <v>146.61</v>
      </c>
      <c r="D22" s="2">
        <f>IFERROR(__xludf.DUMMYFUNCTION("""COMPUTED_VALUE"""),141.32)</f>
        <v>141.32</v>
      </c>
      <c r="E22" s="2">
        <f>IFERROR(__xludf.DUMMYFUNCTION("""COMPUTED_VALUE"""),145.43)</f>
        <v>145.43</v>
      </c>
      <c r="F22" s="2">
        <f>IFERROR(__xludf.DUMMYFUNCTION("""COMPUTED_VALUE"""),7.7663633E7)</f>
        <v>77663633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IFERROR(__xludf.DUMMYFUNCTION("""COMPUTED_VALUE"""),148.9)</f>
        <v>148.9</v>
      </c>
      <c r="C23" s="2">
        <f>IFERROR(__xludf.DUMMYFUNCTION("""COMPUTED_VALUE"""),151.18)</f>
        <v>151.18</v>
      </c>
      <c r="D23" s="2">
        <f>IFERROR(__xludf.DUMMYFUNCTION("""COMPUTED_VALUE"""),148.17)</f>
        <v>148.17</v>
      </c>
      <c r="E23" s="2">
        <f>IFERROR(__xludf.DUMMYFUNCTION("""COMPUTED_VALUE"""),150.82)</f>
        <v>150.82</v>
      </c>
      <c r="F23" s="2">
        <f>IFERROR(__xludf.DUMMYFUNCTION("""COMPUTED_VALUE"""),1.1833898E8)</f>
        <v>118338980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IFERROR(__xludf.DUMMYFUNCTION("""COMPUTED_VALUE"""),148.03)</f>
        <v>148.03</v>
      </c>
      <c r="C24" s="2">
        <f>IFERROR(__xludf.DUMMYFUNCTION("""COMPUTED_VALUE"""),157.38)</f>
        <v>157.38</v>
      </c>
      <c r="D24" s="2">
        <f>IFERROR(__xludf.DUMMYFUNCTION("""COMPUTED_VALUE"""),147.83)</f>
        <v>147.83</v>
      </c>
      <c r="E24" s="2">
        <f>IFERROR(__xludf.DUMMYFUNCTION("""COMPUTED_VALUE"""),154.5)</f>
        <v>154.5</v>
      </c>
      <c r="F24" s="2">
        <f>IFERROR(__xludf.DUMMYFUNCTION("""COMPUTED_VALUE"""),1.54357337E8)</f>
        <v>154357337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IFERROR(__xludf.DUMMYFUNCTION("""COMPUTED_VALUE"""),152.57)</f>
        <v>152.57</v>
      </c>
      <c r="C25" s="2">
        <f>IFERROR(__xludf.DUMMYFUNCTION("""COMPUTED_VALUE"""),153.1)</f>
        <v>153.1</v>
      </c>
      <c r="D25" s="2">
        <f>IFERROR(__xludf.DUMMYFUNCTION("""COMPUTED_VALUE"""),150.78)</f>
        <v>150.78</v>
      </c>
      <c r="E25" s="2">
        <f>IFERROR(__xludf.DUMMYFUNCTION("""COMPUTED_VALUE"""),151.73)</f>
        <v>151.73</v>
      </c>
      <c r="F25" s="2">
        <f>IFERROR(__xludf.DUMMYFUNCTION("""COMPUTED_VALUE"""),6.9858306E7)</f>
        <v>69858306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IFERROR(__xludf.DUMMYFUNCTION("""COMPUTED_VALUE"""),150.64)</f>
        <v>150.64</v>
      </c>
      <c r="C26" s="2">
        <f>IFERROR(__xludf.DUMMYFUNCTION("""COMPUTED_VALUE"""),155.23)</f>
        <v>155.23</v>
      </c>
      <c r="D26" s="2">
        <f>IFERROR(__xludf.DUMMYFUNCTION("""COMPUTED_VALUE"""),150.64)</f>
        <v>150.64</v>
      </c>
      <c r="E26" s="2">
        <f>IFERROR(__xludf.DUMMYFUNCTION("""COMPUTED_VALUE"""),154.65)</f>
        <v>154.65</v>
      </c>
      <c r="F26" s="2">
        <f>IFERROR(__xludf.DUMMYFUNCTION("""COMPUTED_VALUE"""),8.3322551E7)</f>
        <v>83322551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IFERROR(__xludf.DUMMYFUNCTION("""COMPUTED_VALUE"""),153.88)</f>
        <v>153.88</v>
      </c>
      <c r="C27" s="2">
        <f>IFERROR(__xludf.DUMMYFUNCTION("""COMPUTED_VALUE"""),154.58)</f>
        <v>154.58</v>
      </c>
      <c r="D27" s="2">
        <f>IFERROR(__xludf.DUMMYFUNCTION("""COMPUTED_VALUE"""),151.17)</f>
        <v>151.17</v>
      </c>
      <c r="E27" s="2">
        <f>IFERROR(__xludf.DUMMYFUNCTION("""COMPUTED_VALUE"""),151.92)</f>
        <v>151.92</v>
      </c>
      <c r="F27" s="2">
        <f>IFERROR(__xludf.DUMMYFUNCTION("""COMPUTED_VALUE"""),6.4120079E7)</f>
        <v>64120079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IFERROR(__xludf.DUMMYFUNCTION("""COMPUTED_VALUE"""),153.78)</f>
        <v>153.78</v>
      </c>
      <c r="C28" s="2">
        <f>IFERROR(__xludf.DUMMYFUNCTION("""COMPUTED_VALUE"""),154.33)</f>
        <v>154.33</v>
      </c>
      <c r="D28" s="2">
        <f>IFERROR(__xludf.DUMMYFUNCTION("""COMPUTED_VALUE"""),150.42)</f>
        <v>150.42</v>
      </c>
      <c r="E28" s="2">
        <f>IFERROR(__xludf.DUMMYFUNCTION("""COMPUTED_VALUE"""),150.87)</f>
        <v>150.87</v>
      </c>
      <c r="F28" s="2">
        <f>IFERROR(__xludf.DUMMYFUNCTION("""COMPUTED_VALUE"""),5.6007143E7)</f>
        <v>56007143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IFERROR(__xludf.DUMMYFUNCTION("""COMPUTED_VALUE"""),149.46)</f>
        <v>149.46</v>
      </c>
      <c r="C29" s="2">
        <f>IFERROR(__xludf.DUMMYFUNCTION("""COMPUTED_VALUE"""),151.34)</f>
        <v>151.34</v>
      </c>
      <c r="D29" s="2">
        <f>IFERROR(__xludf.DUMMYFUNCTION("""COMPUTED_VALUE"""),149.22)</f>
        <v>149.22</v>
      </c>
      <c r="E29" s="2">
        <f>IFERROR(__xludf.DUMMYFUNCTION("""COMPUTED_VALUE"""),151.01)</f>
        <v>151.01</v>
      </c>
      <c r="F29" s="2">
        <f>IFERROR(__xludf.DUMMYFUNCTION("""COMPUTED_VALUE"""),5.7450708E7)</f>
        <v>57450708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IFERROR(__xludf.DUMMYFUNCTION("""COMPUTED_VALUE"""),150.95)</f>
        <v>150.95</v>
      </c>
      <c r="C30" s="2">
        <f>IFERROR(__xludf.DUMMYFUNCTION("""COMPUTED_VALUE"""),154.26)</f>
        <v>154.26</v>
      </c>
      <c r="D30" s="2">
        <f>IFERROR(__xludf.DUMMYFUNCTION("""COMPUTED_VALUE"""),150.92)</f>
        <v>150.92</v>
      </c>
      <c r="E30" s="2">
        <f>IFERROR(__xludf.DUMMYFUNCTION("""COMPUTED_VALUE"""),153.85)</f>
        <v>153.85</v>
      </c>
      <c r="F30" s="2">
        <f>IFERROR(__xludf.DUMMYFUNCTION("""COMPUTED_VALUE"""),6.2199013E7)</f>
        <v>62199013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IFERROR(__xludf.DUMMYFUNCTION("""COMPUTED_VALUE"""),152.12)</f>
        <v>152.12</v>
      </c>
      <c r="C31" s="2">
        <f>IFERROR(__xludf.DUMMYFUNCTION("""COMPUTED_VALUE"""),153.77)</f>
        <v>153.77</v>
      </c>
      <c r="D31" s="2">
        <f>IFERROR(__xludf.DUMMYFUNCTION("""COMPUTED_VALUE"""),150.86)</f>
        <v>150.86</v>
      </c>
      <c r="E31" s="2">
        <f>IFERROR(__xludf.DUMMYFUNCTION("""COMPUTED_VALUE"""),153.2)</f>
        <v>153.2</v>
      </c>
      <c r="F31" s="2">
        <f>IFERROR(__xludf.DUMMYFUNCTION("""COMPUTED_VALUE"""),6.1707573E7)</f>
        <v>61707573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IFERROR(__xludf.DUMMYFUNCTION("""COMPUTED_VALUE"""),153.11)</f>
        <v>153.11</v>
      </c>
      <c r="C32" s="2">
        <f>IFERROR(__xludf.DUMMYFUNCTION("""COMPUTED_VALUE"""),155.5)</f>
        <v>155.5</v>
      </c>
      <c r="D32" s="2">
        <f>IFERROR(__xludf.DUMMYFUNCTION("""COMPUTED_VALUE"""),152.88)</f>
        <v>152.88</v>
      </c>
      <c r="E32" s="2">
        <f>IFERROR(__xludf.DUMMYFUNCTION("""COMPUTED_VALUE"""),155.33)</f>
        <v>155.33</v>
      </c>
      <c r="F32" s="2">
        <f>IFERROR(__xludf.DUMMYFUNCTION("""COMPUTED_VALUE"""),6.5669252E7)</f>
        <v>65669252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IFERROR(__xludf.DUMMYFUNCTION("""COMPUTED_VALUE"""),153.51)</f>
        <v>153.51</v>
      </c>
      <c r="C33" s="2">
        <f>IFERROR(__xludf.DUMMYFUNCTION("""COMPUTED_VALUE"""),156.33)</f>
        <v>156.33</v>
      </c>
      <c r="D33" s="2">
        <f>IFERROR(__xludf.DUMMYFUNCTION("""COMPUTED_VALUE"""),153.35)</f>
        <v>153.35</v>
      </c>
      <c r="E33" s="2">
        <f>IFERROR(__xludf.DUMMYFUNCTION("""COMPUTED_VALUE"""),153.71)</f>
        <v>153.71</v>
      </c>
      <c r="F33" s="2">
        <f>IFERROR(__xludf.DUMMYFUNCTION("""COMPUTED_VALUE"""),6.8167942E7)</f>
        <v>68167942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IFERROR(__xludf.DUMMYFUNCTION("""COMPUTED_VALUE"""),152.35)</f>
        <v>152.35</v>
      </c>
      <c r="C34" s="2">
        <f>IFERROR(__xludf.DUMMYFUNCTION("""COMPUTED_VALUE"""),153.0)</f>
        <v>153</v>
      </c>
      <c r="D34" s="2">
        <f>IFERROR(__xludf.DUMMYFUNCTION("""COMPUTED_VALUE"""),150.85)</f>
        <v>150.85</v>
      </c>
      <c r="E34" s="2">
        <f>IFERROR(__xludf.DUMMYFUNCTION("""COMPUTED_VALUE"""),152.55)</f>
        <v>152.55</v>
      </c>
      <c r="F34" s="2">
        <f>IFERROR(__xludf.DUMMYFUNCTION("""COMPUTED_VALUE"""),5.9144118E7)</f>
        <v>59144118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IFERROR(__xludf.DUMMYFUNCTION("""COMPUTED_VALUE"""),150.2)</f>
        <v>150.2</v>
      </c>
      <c r="C35" s="2">
        <f>IFERROR(__xludf.DUMMYFUNCTION("""COMPUTED_VALUE"""),151.3)</f>
        <v>151.3</v>
      </c>
      <c r="D35" s="2">
        <f>IFERROR(__xludf.DUMMYFUNCTION("""COMPUTED_VALUE"""),148.41)</f>
        <v>148.41</v>
      </c>
      <c r="E35" s="2">
        <f>IFERROR(__xludf.DUMMYFUNCTION("""COMPUTED_VALUE"""),148.48)</f>
        <v>148.48</v>
      </c>
      <c r="F35" s="2">
        <f>IFERROR(__xludf.DUMMYFUNCTION("""COMPUTED_VALUE"""),5.886723E7)</f>
        <v>58867230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IFERROR(__xludf.DUMMYFUNCTION("""COMPUTED_VALUE"""),148.87)</f>
        <v>148.87</v>
      </c>
      <c r="C36" s="2">
        <f>IFERROR(__xludf.DUMMYFUNCTION("""COMPUTED_VALUE"""),149.95)</f>
        <v>149.95</v>
      </c>
      <c r="D36" s="2">
        <f>IFERROR(__xludf.DUMMYFUNCTION("""COMPUTED_VALUE"""),147.16)</f>
        <v>147.16</v>
      </c>
      <c r="E36" s="2">
        <f>IFERROR(__xludf.DUMMYFUNCTION("""COMPUTED_VALUE"""),148.91)</f>
        <v>148.91</v>
      </c>
      <c r="F36" s="2">
        <f>IFERROR(__xludf.DUMMYFUNCTION("""COMPUTED_VALUE"""),5.1011305E7)</f>
        <v>51011305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IFERROR(__xludf.DUMMYFUNCTION("""COMPUTED_VALUE"""),150.09)</f>
        <v>150.09</v>
      </c>
      <c r="C37" s="2">
        <f>IFERROR(__xludf.DUMMYFUNCTION("""COMPUTED_VALUE"""),150.34)</f>
        <v>150.34</v>
      </c>
      <c r="D37" s="2">
        <f>IFERROR(__xludf.DUMMYFUNCTION("""COMPUTED_VALUE"""),147.24)</f>
        <v>147.24</v>
      </c>
      <c r="E37" s="2">
        <f>IFERROR(__xludf.DUMMYFUNCTION("""COMPUTED_VALUE"""),149.4)</f>
        <v>149.4</v>
      </c>
      <c r="F37" s="2">
        <f>IFERROR(__xludf.DUMMYFUNCTION("""COMPUTED_VALUE"""),4.8394249E7)</f>
        <v>48394249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IFERROR(__xludf.DUMMYFUNCTION("""COMPUTED_VALUE"""),147.11)</f>
        <v>147.11</v>
      </c>
      <c r="C38" s="2">
        <f>IFERROR(__xludf.DUMMYFUNCTION("""COMPUTED_VALUE"""),147.19)</f>
        <v>147.19</v>
      </c>
      <c r="D38" s="2">
        <f>IFERROR(__xludf.DUMMYFUNCTION("""COMPUTED_VALUE"""),145.72)</f>
        <v>145.72</v>
      </c>
      <c r="E38" s="2">
        <f>IFERROR(__xludf.DUMMYFUNCTION("""COMPUTED_VALUE"""),146.71)</f>
        <v>146.71</v>
      </c>
      <c r="F38" s="2">
        <f>IFERROR(__xludf.DUMMYFUNCTION("""COMPUTED_VALUE"""),5.5469606E7)</f>
        <v>55469606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IFERROR(__xludf.DUMMYFUNCTION("""COMPUTED_VALUE"""),147.71)</f>
        <v>147.71</v>
      </c>
      <c r="C39" s="2">
        <f>IFERROR(__xludf.DUMMYFUNCTION("""COMPUTED_VALUE"""),149.17)</f>
        <v>149.17</v>
      </c>
      <c r="D39" s="2">
        <f>IFERROR(__xludf.DUMMYFUNCTION("""COMPUTED_VALUE"""),147.45)</f>
        <v>147.45</v>
      </c>
      <c r="E39" s="2">
        <f>IFERROR(__xludf.DUMMYFUNCTION("""COMPUTED_VALUE"""),147.92)</f>
        <v>147.92</v>
      </c>
      <c r="F39" s="2">
        <f>IFERROR(__xludf.DUMMYFUNCTION("""COMPUTED_VALUE"""),4.499847E7)</f>
        <v>44998470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IFERROR(__xludf.DUMMYFUNCTION("""COMPUTED_VALUE"""),147.05)</f>
        <v>147.05</v>
      </c>
      <c r="C40" s="2">
        <f>IFERROR(__xludf.DUMMYFUNCTION("""COMPUTED_VALUE"""),149.08)</f>
        <v>149.08</v>
      </c>
      <c r="D40" s="2">
        <f>IFERROR(__xludf.DUMMYFUNCTION("""COMPUTED_VALUE"""),146.83)</f>
        <v>146.83</v>
      </c>
      <c r="E40" s="2">
        <f>IFERROR(__xludf.DUMMYFUNCTION("""COMPUTED_VALUE"""),147.41)</f>
        <v>147.41</v>
      </c>
      <c r="F40" s="2">
        <f>IFERROR(__xludf.DUMMYFUNCTION("""COMPUTED_VALUE"""),5.0546998E7)</f>
        <v>50546998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IFERROR(__xludf.DUMMYFUNCTION("""COMPUTED_VALUE"""),146.83)</f>
        <v>146.83</v>
      </c>
      <c r="C41" s="2">
        <f>IFERROR(__xludf.DUMMYFUNCTION("""COMPUTED_VALUE"""),147.23)</f>
        <v>147.23</v>
      </c>
      <c r="D41" s="2">
        <f>IFERROR(__xludf.DUMMYFUNCTION("""COMPUTED_VALUE"""),145.01)</f>
        <v>145.01</v>
      </c>
      <c r="E41" s="2">
        <f>IFERROR(__xludf.DUMMYFUNCTION("""COMPUTED_VALUE"""),145.31)</f>
        <v>145.31</v>
      </c>
      <c r="F41" s="2">
        <f>IFERROR(__xludf.DUMMYFUNCTION("""COMPUTED_VALUE"""),5.5478991E7)</f>
        <v>55478991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IFERROR(__xludf.DUMMYFUNCTION("""COMPUTED_VALUE"""),144.38)</f>
        <v>144.38</v>
      </c>
      <c r="C42" s="2">
        <f>IFERROR(__xludf.DUMMYFUNCTION("""COMPUTED_VALUE"""),146.71)</f>
        <v>146.71</v>
      </c>
      <c r="D42" s="2">
        <f>IFERROR(__xludf.DUMMYFUNCTION("""COMPUTED_VALUE"""),143.9)</f>
        <v>143.9</v>
      </c>
      <c r="E42" s="2">
        <f>IFERROR(__xludf.DUMMYFUNCTION("""COMPUTED_VALUE"""),145.91)</f>
        <v>145.91</v>
      </c>
      <c r="F42" s="2">
        <f>IFERROR(__xludf.DUMMYFUNCTION("""COMPUTED_VALUE"""),5.2279761E7)</f>
        <v>52279761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IFERROR(__xludf.DUMMYFUNCTION("""COMPUTED_VALUE"""),148.04)</f>
        <v>148.04</v>
      </c>
      <c r="C43" s="2">
        <f>IFERROR(__xludf.DUMMYFUNCTION("""COMPUTED_VALUE"""),151.11)</f>
        <v>151.11</v>
      </c>
      <c r="D43" s="2">
        <f>IFERROR(__xludf.DUMMYFUNCTION("""COMPUTED_VALUE"""),147.33)</f>
        <v>147.33</v>
      </c>
      <c r="E43" s="2">
        <f>IFERROR(__xludf.DUMMYFUNCTION("""COMPUTED_VALUE"""),151.03)</f>
        <v>151.03</v>
      </c>
      <c r="F43" s="2">
        <f>IFERROR(__xludf.DUMMYFUNCTION("""COMPUTED_VALUE"""),7.0732297E7)</f>
        <v>70732297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IFERROR(__xludf.DUMMYFUNCTION("""COMPUTED_VALUE"""),153.79)</f>
        <v>153.79</v>
      </c>
      <c r="C44" s="2">
        <f>IFERROR(__xludf.DUMMYFUNCTION("""COMPUTED_VALUE"""),156.3)</f>
        <v>156.3</v>
      </c>
      <c r="D44" s="2">
        <f>IFERROR(__xludf.DUMMYFUNCTION("""COMPUTED_VALUE"""),153.46)</f>
        <v>153.46</v>
      </c>
      <c r="E44" s="2">
        <f>IFERROR(__xludf.DUMMYFUNCTION("""COMPUTED_VALUE"""),153.83)</f>
        <v>153.83</v>
      </c>
      <c r="F44" s="2">
        <f>IFERROR(__xludf.DUMMYFUNCTION("""COMPUTED_VALUE"""),8.7558028E7)</f>
        <v>87558028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IFERROR(__xludf.DUMMYFUNCTION("""COMPUTED_VALUE"""),153.7)</f>
        <v>153.7</v>
      </c>
      <c r="C45" s="2">
        <f>IFERROR(__xludf.DUMMYFUNCTION("""COMPUTED_VALUE"""),154.03)</f>
        <v>154.03</v>
      </c>
      <c r="D45" s="2">
        <f>IFERROR(__xludf.DUMMYFUNCTION("""COMPUTED_VALUE"""),151.13)</f>
        <v>151.13</v>
      </c>
      <c r="E45" s="2">
        <f>IFERROR(__xludf.DUMMYFUNCTION("""COMPUTED_VALUE"""),151.6)</f>
        <v>151.6</v>
      </c>
      <c r="F45" s="2">
        <f>IFERROR(__xludf.DUMMYFUNCTION("""COMPUTED_VALUE"""),5.6182028E7)</f>
        <v>56182028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IFERROR(__xludf.DUMMYFUNCTION("""COMPUTED_VALUE"""),152.81)</f>
        <v>152.81</v>
      </c>
      <c r="C46" s="2">
        <f>IFERROR(__xludf.DUMMYFUNCTION("""COMPUTED_VALUE"""),153.47)</f>
        <v>153.47</v>
      </c>
      <c r="D46" s="2">
        <f>IFERROR(__xludf.DUMMYFUNCTION("""COMPUTED_VALUE"""),151.83)</f>
        <v>151.83</v>
      </c>
      <c r="E46" s="2">
        <f>IFERROR(__xludf.DUMMYFUNCTION("""COMPUTED_VALUE"""),152.87)</f>
        <v>152.87</v>
      </c>
      <c r="F46" s="2">
        <f>IFERROR(__xludf.DUMMYFUNCTION("""COMPUTED_VALUE"""),4.7204791E7)</f>
        <v>47204791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IFERROR(__xludf.DUMMYFUNCTION("""COMPUTED_VALUE"""),153.56)</f>
        <v>153.56</v>
      </c>
      <c r="C47" s="2">
        <f>IFERROR(__xludf.DUMMYFUNCTION("""COMPUTED_VALUE"""),154.54)</f>
        <v>154.54</v>
      </c>
      <c r="D47" s="2">
        <f>IFERROR(__xludf.DUMMYFUNCTION("""COMPUTED_VALUE"""),150.23)</f>
        <v>150.23</v>
      </c>
      <c r="E47" s="2">
        <f>IFERROR(__xludf.DUMMYFUNCTION("""COMPUTED_VALUE"""),150.59)</f>
        <v>150.59</v>
      </c>
      <c r="F47" s="2">
        <f>IFERROR(__xludf.DUMMYFUNCTION("""COMPUTED_VALUE"""),5.3833582E7)</f>
        <v>53833582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IFERROR(__xludf.DUMMYFUNCTION("""COMPUTED_VALUE"""),150.21)</f>
        <v>150.21</v>
      </c>
      <c r="C48" s="2">
        <f>IFERROR(__xludf.DUMMYFUNCTION("""COMPUTED_VALUE"""),150.94)</f>
        <v>150.94</v>
      </c>
      <c r="D48" s="2">
        <f>IFERROR(__xludf.DUMMYFUNCTION("""COMPUTED_VALUE"""),147.61)</f>
        <v>147.61</v>
      </c>
      <c r="E48" s="2">
        <f>IFERROR(__xludf.DUMMYFUNCTION("""COMPUTED_VALUE"""),148.5)</f>
        <v>148.5</v>
      </c>
      <c r="F48" s="2">
        <f>IFERROR(__xludf.DUMMYFUNCTION("""COMPUTED_VALUE"""),6.85724E7)</f>
        <v>68572400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IFERROR(__xludf.DUMMYFUNCTION("""COMPUTED_VALUE"""),147.81)</f>
        <v>147.81</v>
      </c>
      <c r="C49" s="2">
        <f>IFERROR(__xludf.DUMMYFUNCTION("""COMPUTED_VALUE"""),153.14)</f>
        <v>153.14</v>
      </c>
      <c r="D49" s="2">
        <f>IFERROR(__xludf.DUMMYFUNCTION("""COMPUTED_VALUE"""),147.7)</f>
        <v>147.7</v>
      </c>
      <c r="E49" s="2">
        <f>IFERROR(__xludf.DUMMYFUNCTION("""COMPUTED_VALUE"""),150.47)</f>
        <v>150.47</v>
      </c>
      <c r="F49" s="2">
        <f>IFERROR(__xludf.DUMMYFUNCTION("""COMPUTED_VALUE"""),8.4457122E7)</f>
        <v>84457122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IFERROR(__xludf.DUMMYFUNCTION("""COMPUTED_VALUE"""),151.28)</f>
        <v>151.28</v>
      </c>
      <c r="C50" s="2">
        <f>IFERROR(__xludf.DUMMYFUNCTION("""COMPUTED_VALUE"""),153.4)</f>
        <v>153.4</v>
      </c>
      <c r="D50" s="2">
        <f>IFERROR(__xludf.DUMMYFUNCTION("""COMPUTED_VALUE"""),150.1)</f>
        <v>150.1</v>
      </c>
      <c r="E50" s="2">
        <f>IFERROR(__xludf.DUMMYFUNCTION("""COMPUTED_VALUE"""),152.59)</f>
        <v>152.59</v>
      </c>
      <c r="F50" s="2">
        <f>IFERROR(__xludf.DUMMYFUNCTION("""COMPUTED_VALUE"""),7.3695893E7)</f>
        <v>73695893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IFERROR(__xludf.DUMMYFUNCTION("""COMPUTED_VALUE"""),151.19)</f>
        <v>151.19</v>
      </c>
      <c r="C51" s="2">
        <f>IFERROR(__xludf.DUMMYFUNCTION("""COMPUTED_VALUE"""),153.25)</f>
        <v>153.25</v>
      </c>
      <c r="D51" s="2">
        <f>IFERROR(__xludf.DUMMYFUNCTION("""COMPUTED_VALUE"""),149.92)</f>
        <v>149.92</v>
      </c>
      <c r="E51" s="2">
        <f>IFERROR(__xludf.DUMMYFUNCTION("""COMPUTED_VALUE"""),152.99)</f>
        <v>152.99</v>
      </c>
      <c r="F51" s="2">
        <f>IFERROR(__xludf.DUMMYFUNCTION("""COMPUTED_VALUE"""),7.7167866E7)</f>
        <v>77167866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IFERROR(__xludf.DUMMYFUNCTION("""COMPUTED_VALUE"""),152.16)</f>
        <v>152.16</v>
      </c>
      <c r="C52" s="2">
        <f>IFERROR(__xludf.DUMMYFUNCTION("""COMPUTED_VALUE"""),156.46)</f>
        <v>156.46</v>
      </c>
      <c r="D52" s="2">
        <f>IFERROR(__xludf.DUMMYFUNCTION("""COMPUTED_VALUE"""),151.64)</f>
        <v>151.64</v>
      </c>
      <c r="E52" s="2">
        <f>IFERROR(__xludf.DUMMYFUNCTION("""COMPUTED_VALUE"""),155.85)</f>
        <v>155.85</v>
      </c>
      <c r="F52" s="2">
        <f>IFERROR(__xludf.DUMMYFUNCTION("""COMPUTED_VALUE"""),7.6254419E7)</f>
        <v>76254419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IFERROR(__xludf.DUMMYFUNCTION("""COMPUTED_VALUE"""),156.08)</f>
        <v>156.08</v>
      </c>
      <c r="C53" s="2">
        <f>IFERROR(__xludf.DUMMYFUNCTION("""COMPUTED_VALUE"""),156.74)</f>
        <v>156.74</v>
      </c>
      <c r="D53" s="2">
        <f>IFERROR(__xludf.DUMMYFUNCTION("""COMPUTED_VALUE"""),154.28)</f>
        <v>154.28</v>
      </c>
      <c r="E53" s="2">
        <f>IFERROR(__xludf.DUMMYFUNCTION("""COMPUTED_VALUE"""),155.0)</f>
        <v>155</v>
      </c>
      <c r="F53" s="2">
        <f>IFERROR(__xludf.DUMMYFUNCTION("""COMPUTED_VALUE"""),9.8944633E7)</f>
        <v>98944633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IFERROR(__xludf.DUMMYFUNCTION("""COMPUTED_VALUE"""),155.07)</f>
        <v>155.07</v>
      </c>
      <c r="C54" s="2">
        <f>IFERROR(__xludf.DUMMYFUNCTION("""COMPUTED_VALUE"""),157.82)</f>
        <v>157.82</v>
      </c>
      <c r="D54" s="2">
        <f>IFERROR(__xludf.DUMMYFUNCTION("""COMPUTED_VALUE"""),154.15)</f>
        <v>154.15</v>
      </c>
      <c r="E54" s="2">
        <f>IFERROR(__xludf.DUMMYFUNCTION("""COMPUTED_VALUE"""),157.4)</f>
        <v>157.4</v>
      </c>
      <c r="F54" s="2">
        <f>IFERROR(__xludf.DUMMYFUNCTION("""COMPUTED_VALUE"""),7.3641415E7)</f>
        <v>73641415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IFERROR(__xludf.DUMMYFUNCTION("""COMPUTED_VALUE"""),157.32)</f>
        <v>157.32</v>
      </c>
      <c r="C55" s="2">
        <f>IFERROR(__xludf.DUMMYFUNCTION("""COMPUTED_VALUE"""),159.4)</f>
        <v>159.4</v>
      </c>
      <c r="D55" s="2">
        <f>IFERROR(__xludf.DUMMYFUNCTION("""COMPUTED_VALUE"""),156.54)</f>
        <v>156.54</v>
      </c>
      <c r="E55" s="2">
        <f>IFERROR(__xludf.DUMMYFUNCTION("""COMPUTED_VALUE"""),159.28)</f>
        <v>159.28</v>
      </c>
      <c r="F55" s="2">
        <f>IFERROR(__xludf.DUMMYFUNCTION("""COMPUTED_VALUE"""),7.3938285E7)</f>
        <v>73938285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IFERROR(__xludf.DUMMYFUNCTION("""COMPUTED_VALUE"""),159.3)</f>
        <v>159.3</v>
      </c>
      <c r="C56" s="2">
        <f>IFERROR(__xludf.DUMMYFUNCTION("""COMPUTED_VALUE"""),162.14)</f>
        <v>162.14</v>
      </c>
      <c r="D56" s="2">
        <f>IFERROR(__xludf.DUMMYFUNCTION("""COMPUTED_VALUE"""),157.81)</f>
        <v>157.81</v>
      </c>
      <c r="E56" s="2">
        <f>IFERROR(__xludf.DUMMYFUNCTION("""COMPUTED_VALUE"""),157.83)</f>
        <v>157.83</v>
      </c>
      <c r="F56" s="2">
        <f>IFERROR(__xludf.DUMMYFUNCTION("""COMPUTED_VALUE"""),7.5701811E7)</f>
        <v>75701811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IFERROR(__xludf.DUMMYFUNCTION("""COMPUTED_VALUE"""),158.83)</f>
        <v>158.83</v>
      </c>
      <c r="C57" s="2">
        <f>IFERROR(__xludf.DUMMYFUNCTION("""COMPUTED_VALUE"""),161.55)</f>
        <v>161.55</v>
      </c>
      <c r="D57" s="2">
        <f>IFERROR(__xludf.DUMMYFUNCTION("""COMPUTED_VALUE"""),157.68)</f>
        <v>157.68</v>
      </c>
      <c r="E57" s="2">
        <f>IFERROR(__xludf.DUMMYFUNCTION("""COMPUTED_VALUE"""),158.93)</f>
        <v>158.93</v>
      </c>
      <c r="F57" s="2">
        <f>IFERROR(__xludf.DUMMYFUNCTION("""COMPUTED_VALUE"""),6.762206E7)</f>
        <v>67622060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IFERROR(__xludf.DUMMYFUNCTION("""COMPUTED_VALUE"""),158.86)</f>
        <v>158.86</v>
      </c>
      <c r="C58" s="2">
        <f>IFERROR(__xludf.DUMMYFUNCTION("""COMPUTED_VALUE"""),160.34)</f>
        <v>160.34</v>
      </c>
      <c r="D58" s="2">
        <f>IFERROR(__xludf.DUMMYFUNCTION("""COMPUTED_VALUE"""),157.85)</f>
        <v>157.85</v>
      </c>
      <c r="E58" s="2">
        <f>IFERROR(__xludf.DUMMYFUNCTION("""COMPUTED_VALUE"""),160.25)</f>
        <v>160.25</v>
      </c>
      <c r="F58" s="2">
        <f>IFERROR(__xludf.DUMMYFUNCTION("""COMPUTED_VALUE"""),5.9256343E7)</f>
        <v>59256343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IFERROR(__xludf.DUMMYFUNCTION("""COMPUTED_VALUE"""),159.94)</f>
        <v>159.94</v>
      </c>
      <c r="C59" s="2">
        <f>IFERROR(__xludf.DUMMYFUNCTION("""COMPUTED_VALUE"""),160.77)</f>
        <v>160.77</v>
      </c>
      <c r="D59" s="2">
        <f>IFERROR(__xludf.DUMMYFUNCTION("""COMPUTED_VALUE"""),157.87)</f>
        <v>157.87</v>
      </c>
      <c r="E59" s="2">
        <f>IFERROR(__xludf.DUMMYFUNCTION("""COMPUTED_VALUE"""),158.28)</f>
        <v>158.28</v>
      </c>
      <c r="F59" s="2">
        <f>IFERROR(__xludf.DUMMYFUNCTION("""COMPUTED_VALUE"""),5.2390266E7)</f>
        <v>52390266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IFERROR(__xludf.DUMMYFUNCTION("""COMPUTED_VALUE"""),157.97)</f>
        <v>157.97</v>
      </c>
      <c r="C60" s="2">
        <f>IFERROR(__xludf.DUMMYFUNCTION("""COMPUTED_VALUE"""),158.49)</f>
        <v>158.49</v>
      </c>
      <c r="D60" s="2">
        <f>IFERROR(__xludf.DUMMYFUNCTION("""COMPUTED_VALUE"""),155.98)</f>
        <v>155.98</v>
      </c>
      <c r="E60" s="2">
        <f>IFERROR(__xludf.DUMMYFUNCTION("""COMPUTED_VALUE"""),157.65)</f>
        <v>157.65</v>
      </c>
      <c r="F60" s="2">
        <f>IFERROR(__xludf.DUMMYFUNCTION("""COMPUTED_VALUE"""),4.5992152E7)</f>
        <v>45992152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IFERROR(__xludf.DUMMYFUNCTION("""COMPUTED_VALUE"""),159.37)</f>
        <v>159.37</v>
      </c>
      <c r="C61" s="2">
        <f>IFERROR(__xludf.DUMMYFUNCTION("""COMPUTED_VALUE"""),161.05)</f>
        <v>161.05</v>
      </c>
      <c r="D61" s="2">
        <f>IFERROR(__xludf.DUMMYFUNCTION("""COMPUTED_VALUE"""),159.35)</f>
        <v>159.35</v>
      </c>
      <c r="E61" s="2">
        <f>IFERROR(__xludf.DUMMYFUNCTION("""COMPUTED_VALUE"""),160.77)</f>
        <v>160.77</v>
      </c>
      <c r="F61" s="2">
        <f>IFERROR(__xludf.DUMMYFUNCTION("""COMPUTED_VALUE"""),5.1305691E7)</f>
        <v>51305691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IFERROR(__xludf.DUMMYFUNCTION("""COMPUTED_VALUE"""),161.53)</f>
        <v>161.53</v>
      </c>
      <c r="C62" s="2">
        <f>IFERROR(__xludf.DUMMYFUNCTION("""COMPUTED_VALUE"""),162.47)</f>
        <v>162.47</v>
      </c>
      <c r="D62" s="2">
        <f>IFERROR(__xludf.DUMMYFUNCTION("""COMPUTED_VALUE"""),161.27)</f>
        <v>161.27</v>
      </c>
      <c r="E62" s="2">
        <f>IFERROR(__xludf.DUMMYFUNCTION("""COMPUTED_VALUE"""),162.36)</f>
        <v>162.36</v>
      </c>
      <c r="F62" s="2">
        <f>IFERROR(__xludf.DUMMYFUNCTION("""COMPUTED_VALUE"""),4.9501689E7)</f>
        <v>49501689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IFERROR(__xludf.DUMMYFUNCTION("""COMPUTED_VALUE"""),162.44)</f>
        <v>162.44</v>
      </c>
      <c r="C63" s="2">
        <f>IFERROR(__xludf.DUMMYFUNCTION("""COMPUTED_VALUE"""),165.0)</f>
        <v>165</v>
      </c>
      <c r="D63" s="2">
        <f>IFERROR(__xludf.DUMMYFUNCTION("""COMPUTED_VALUE"""),161.91)</f>
        <v>161.91</v>
      </c>
      <c r="E63" s="2">
        <f>IFERROR(__xludf.DUMMYFUNCTION("""COMPUTED_VALUE"""),164.9)</f>
        <v>164.9</v>
      </c>
      <c r="F63" s="2">
        <f>IFERROR(__xludf.DUMMYFUNCTION("""COMPUTED_VALUE"""),6.8749792E7)</f>
        <v>68749792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IFERROR(__xludf.DUMMYFUNCTION("""COMPUTED_VALUE"""),164.27)</f>
        <v>164.27</v>
      </c>
      <c r="C64" s="2">
        <f>IFERROR(__xludf.DUMMYFUNCTION("""COMPUTED_VALUE"""),166.29)</f>
        <v>166.29</v>
      </c>
      <c r="D64" s="2">
        <f>IFERROR(__xludf.DUMMYFUNCTION("""COMPUTED_VALUE"""),164.22)</f>
        <v>164.22</v>
      </c>
      <c r="E64" s="2">
        <f>IFERROR(__xludf.DUMMYFUNCTION("""COMPUTED_VALUE"""),166.17)</f>
        <v>166.17</v>
      </c>
      <c r="F64" s="2">
        <f>IFERROR(__xludf.DUMMYFUNCTION("""COMPUTED_VALUE"""),5.6976187E7)</f>
        <v>56976187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IFERROR(__xludf.DUMMYFUNCTION("""COMPUTED_VALUE"""),166.6)</f>
        <v>166.6</v>
      </c>
      <c r="C65" s="2">
        <f>IFERROR(__xludf.DUMMYFUNCTION("""COMPUTED_VALUE"""),166.84)</f>
        <v>166.84</v>
      </c>
      <c r="D65" s="2">
        <f>IFERROR(__xludf.DUMMYFUNCTION("""COMPUTED_VALUE"""),165.11)</f>
        <v>165.11</v>
      </c>
      <c r="E65" s="2">
        <f>IFERROR(__xludf.DUMMYFUNCTION("""COMPUTED_VALUE"""),165.63)</f>
        <v>165.63</v>
      </c>
      <c r="F65" s="2">
        <f>IFERROR(__xludf.DUMMYFUNCTION("""COMPUTED_VALUE"""),4.6278295E7)</f>
        <v>46278295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IFERROR(__xludf.DUMMYFUNCTION("""COMPUTED_VALUE"""),164.74)</f>
        <v>164.74</v>
      </c>
      <c r="C66" s="2">
        <f>IFERROR(__xludf.DUMMYFUNCTION("""COMPUTED_VALUE"""),165.05)</f>
        <v>165.05</v>
      </c>
      <c r="D66" s="2">
        <f>IFERROR(__xludf.DUMMYFUNCTION("""COMPUTED_VALUE"""),161.8)</f>
        <v>161.8</v>
      </c>
      <c r="E66" s="2">
        <f>IFERROR(__xludf.DUMMYFUNCTION("""COMPUTED_VALUE"""),163.76)</f>
        <v>163.76</v>
      </c>
      <c r="F66" s="2">
        <f>IFERROR(__xludf.DUMMYFUNCTION("""COMPUTED_VALUE"""),5.1511744E7)</f>
        <v>51511744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IFERROR(__xludf.DUMMYFUNCTION("""COMPUTED_VALUE"""),162.43)</f>
        <v>162.43</v>
      </c>
      <c r="C67" s="2">
        <f>IFERROR(__xludf.DUMMYFUNCTION("""COMPUTED_VALUE"""),164.96)</f>
        <v>164.96</v>
      </c>
      <c r="D67" s="2">
        <f>IFERROR(__xludf.DUMMYFUNCTION("""COMPUTED_VALUE"""),162.0)</f>
        <v>162</v>
      </c>
      <c r="E67" s="2">
        <f>IFERROR(__xludf.DUMMYFUNCTION("""COMPUTED_VALUE"""),164.66)</f>
        <v>164.66</v>
      </c>
      <c r="F67" s="2">
        <f>IFERROR(__xludf.DUMMYFUNCTION("""COMPUTED_VALUE"""),4.5390123E7)</f>
        <v>45390123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IFERROR(__xludf.DUMMYFUNCTION("""COMPUTED_VALUE"""),161.42)</f>
        <v>161.42</v>
      </c>
      <c r="C68" s="2">
        <f>IFERROR(__xludf.DUMMYFUNCTION("""COMPUTED_VALUE"""),162.03)</f>
        <v>162.03</v>
      </c>
      <c r="D68" s="2">
        <f>IFERROR(__xludf.DUMMYFUNCTION("""COMPUTED_VALUE"""),160.08)</f>
        <v>160.08</v>
      </c>
      <c r="E68" s="2">
        <f>IFERROR(__xludf.DUMMYFUNCTION("""COMPUTED_VALUE"""),162.03)</f>
        <v>162.03</v>
      </c>
      <c r="F68" s="2">
        <f>IFERROR(__xludf.DUMMYFUNCTION("""COMPUTED_VALUE"""),4.7716882E7)</f>
        <v>47716882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IFERROR(__xludf.DUMMYFUNCTION("""COMPUTED_VALUE"""),162.35)</f>
        <v>162.35</v>
      </c>
      <c r="C69" s="2">
        <f>IFERROR(__xludf.DUMMYFUNCTION("""COMPUTED_VALUE"""),162.36)</f>
        <v>162.36</v>
      </c>
      <c r="D69" s="2">
        <f>IFERROR(__xludf.DUMMYFUNCTION("""COMPUTED_VALUE"""),160.51)</f>
        <v>160.51</v>
      </c>
      <c r="E69" s="2">
        <f>IFERROR(__xludf.DUMMYFUNCTION("""COMPUTED_VALUE"""),160.8)</f>
        <v>160.8</v>
      </c>
      <c r="F69" s="2">
        <f>IFERROR(__xludf.DUMMYFUNCTION("""COMPUTED_VALUE"""),4.7644217E7)</f>
        <v>47644217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IFERROR(__xludf.DUMMYFUNCTION("""COMPUTED_VALUE"""),161.22)</f>
        <v>161.22</v>
      </c>
      <c r="C70" s="2">
        <f>IFERROR(__xludf.DUMMYFUNCTION("""COMPUTED_VALUE"""),162.06)</f>
        <v>162.06</v>
      </c>
      <c r="D70" s="2">
        <f>IFERROR(__xludf.DUMMYFUNCTION("""COMPUTED_VALUE"""),159.78)</f>
        <v>159.78</v>
      </c>
      <c r="E70" s="2">
        <f>IFERROR(__xludf.DUMMYFUNCTION("""COMPUTED_VALUE"""),160.1)</f>
        <v>160.1</v>
      </c>
      <c r="F70" s="2">
        <f>IFERROR(__xludf.DUMMYFUNCTION("""COMPUTED_VALUE"""),5.0133062E7)</f>
        <v>50133062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IFERROR(__xludf.DUMMYFUNCTION("""COMPUTED_VALUE"""),161.63)</f>
        <v>161.63</v>
      </c>
      <c r="C71" s="2">
        <f>IFERROR(__xludf.DUMMYFUNCTION("""COMPUTED_VALUE"""),165.8)</f>
        <v>165.8</v>
      </c>
      <c r="D71" s="2">
        <f>IFERROR(__xludf.DUMMYFUNCTION("""COMPUTED_VALUE"""),161.42)</f>
        <v>161.42</v>
      </c>
      <c r="E71" s="2">
        <f>IFERROR(__xludf.DUMMYFUNCTION("""COMPUTED_VALUE"""),165.56)</f>
        <v>165.56</v>
      </c>
      <c r="F71" s="2">
        <f>IFERROR(__xludf.DUMMYFUNCTION("""COMPUTED_VALUE"""),6.8445649E7)</f>
        <v>68445649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IFERROR(__xludf.DUMMYFUNCTION("""COMPUTED_VALUE"""),164.59)</f>
        <v>164.59</v>
      </c>
      <c r="C72" s="2">
        <f>IFERROR(__xludf.DUMMYFUNCTION("""COMPUTED_VALUE"""),166.32)</f>
        <v>166.32</v>
      </c>
      <c r="D72" s="2">
        <f>IFERROR(__xludf.DUMMYFUNCTION("""COMPUTED_VALUE"""),163.82)</f>
        <v>163.82</v>
      </c>
      <c r="E72" s="2">
        <f>IFERROR(__xludf.DUMMYFUNCTION("""COMPUTED_VALUE"""),165.21)</f>
        <v>165.21</v>
      </c>
      <c r="F72" s="2">
        <f>IFERROR(__xludf.DUMMYFUNCTION("""COMPUTED_VALUE"""),4.938648E7)</f>
        <v>49386480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IFERROR(__xludf.DUMMYFUNCTION("""COMPUTED_VALUE"""),165.09)</f>
        <v>165.09</v>
      </c>
      <c r="C73" s="2">
        <f>IFERROR(__xludf.DUMMYFUNCTION("""COMPUTED_VALUE"""),165.39)</f>
        <v>165.39</v>
      </c>
      <c r="D73" s="2">
        <f>IFERROR(__xludf.DUMMYFUNCTION("""COMPUTED_VALUE"""),164.03)</f>
        <v>164.03</v>
      </c>
      <c r="E73" s="2">
        <f>IFERROR(__xludf.DUMMYFUNCTION("""COMPUTED_VALUE"""),165.23)</f>
        <v>165.23</v>
      </c>
      <c r="F73" s="2">
        <f>IFERROR(__xludf.DUMMYFUNCTION("""COMPUTED_VALUE"""),4.1516217E7)</f>
        <v>41516217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IFERROR(__xludf.DUMMYFUNCTION("""COMPUTED_VALUE"""),166.1)</f>
        <v>166.1</v>
      </c>
      <c r="C74" s="2">
        <f>IFERROR(__xludf.DUMMYFUNCTION("""COMPUTED_VALUE"""),167.41)</f>
        <v>167.41</v>
      </c>
      <c r="D74" s="2">
        <f>IFERROR(__xludf.DUMMYFUNCTION("""COMPUTED_VALUE"""),165.65)</f>
        <v>165.65</v>
      </c>
      <c r="E74" s="2">
        <f>IFERROR(__xludf.DUMMYFUNCTION("""COMPUTED_VALUE"""),166.47)</f>
        <v>166.47</v>
      </c>
      <c r="F74" s="2">
        <f>IFERROR(__xludf.DUMMYFUNCTION("""COMPUTED_VALUE"""),4.9923008E7)</f>
        <v>49923008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IFERROR(__xludf.DUMMYFUNCTION("""COMPUTED_VALUE"""),165.8)</f>
        <v>165.8</v>
      </c>
      <c r="C75" s="2">
        <f>IFERROR(__xludf.DUMMYFUNCTION("""COMPUTED_VALUE"""),168.16)</f>
        <v>168.16</v>
      </c>
      <c r="D75" s="2">
        <f>IFERROR(__xludf.DUMMYFUNCTION("""COMPUTED_VALUE"""),165.54)</f>
        <v>165.54</v>
      </c>
      <c r="E75" s="2">
        <f>IFERROR(__xludf.DUMMYFUNCTION("""COMPUTED_VALUE"""),167.63)</f>
        <v>167.63</v>
      </c>
      <c r="F75" s="2">
        <f>IFERROR(__xludf.DUMMYFUNCTION("""COMPUTED_VALUE"""),4.7720166E7)</f>
        <v>47720166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IFERROR(__xludf.DUMMYFUNCTION("""COMPUTED_VALUE"""),166.09)</f>
        <v>166.09</v>
      </c>
      <c r="C76" s="2">
        <f>IFERROR(__xludf.DUMMYFUNCTION("""COMPUTED_VALUE"""),167.87)</f>
        <v>167.87</v>
      </c>
      <c r="D76" s="2">
        <f>IFERROR(__xludf.DUMMYFUNCTION("""COMPUTED_VALUE"""),165.56)</f>
        <v>165.56</v>
      </c>
      <c r="E76" s="2">
        <f>IFERROR(__xludf.DUMMYFUNCTION("""COMPUTED_VALUE"""),166.65)</f>
        <v>166.65</v>
      </c>
      <c r="F76" s="2">
        <f>IFERROR(__xludf.DUMMYFUNCTION("""COMPUTED_VALUE"""),5.2456377E7)</f>
        <v>52456377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IFERROR(__xludf.DUMMYFUNCTION("""COMPUTED_VALUE"""),165.05)</f>
        <v>165.05</v>
      </c>
      <c r="C77" s="2">
        <f>IFERROR(__xludf.DUMMYFUNCTION("""COMPUTED_VALUE"""),166.45)</f>
        <v>166.45</v>
      </c>
      <c r="D77" s="2">
        <f>IFERROR(__xludf.DUMMYFUNCTION("""COMPUTED_VALUE"""),164.49)</f>
        <v>164.49</v>
      </c>
      <c r="E77" s="2">
        <f>IFERROR(__xludf.DUMMYFUNCTION("""COMPUTED_VALUE"""),165.02)</f>
        <v>165.02</v>
      </c>
      <c r="F77" s="2">
        <f>IFERROR(__xludf.DUMMYFUNCTION("""COMPUTED_VALUE"""),5.8337341E7)</f>
        <v>58337341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IFERROR(__xludf.DUMMYFUNCTION("""COMPUTED_VALUE"""),165.0)</f>
        <v>165</v>
      </c>
      <c r="C78" s="2">
        <f>IFERROR(__xludf.DUMMYFUNCTION("""COMPUTED_VALUE"""),165.6)</f>
        <v>165.6</v>
      </c>
      <c r="D78" s="2">
        <f>IFERROR(__xludf.DUMMYFUNCTION("""COMPUTED_VALUE"""),163.89)</f>
        <v>163.89</v>
      </c>
      <c r="E78" s="2">
        <f>IFERROR(__xludf.DUMMYFUNCTION("""COMPUTED_VALUE"""),165.33)</f>
        <v>165.33</v>
      </c>
      <c r="F78" s="2">
        <f>IFERROR(__xludf.DUMMYFUNCTION("""COMPUTED_VALUE"""),4.1949581E7)</f>
        <v>41949581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IFERROR(__xludf.DUMMYFUNCTION("""COMPUTED_VALUE"""),165.19)</f>
        <v>165.19</v>
      </c>
      <c r="C79" s="2">
        <f>IFERROR(__xludf.DUMMYFUNCTION("""COMPUTED_VALUE"""),166.31)</f>
        <v>166.31</v>
      </c>
      <c r="D79" s="2">
        <f>IFERROR(__xludf.DUMMYFUNCTION("""COMPUTED_VALUE"""),163.73)</f>
        <v>163.73</v>
      </c>
      <c r="E79" s="2">
        <f>IFERROR(__xludf.DUMMYFUNCTION("""COMPUTED_VALUE"""),163.77)</f>
        <v>163.77</v>
      </c>
      <c r="F79" s="2">
        <f>IFERROR(__xludf.DUMMYFUNCTION("""COMPUTED_VALUE"""),4.8714063E7)</f>
        <v>48714063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IFERROR(__xludf.DUMMYFUNCTION("""COMPUTED_VALUE"""),163.06)</f>
        <v>163.06</v>
      </c>
      <c r="C80" s="2">
        <f>IFERROR(__xludf.DUMMYFUNCTION("""COMPUTED_VALUE"""),165.28)</f>
        <v>165.28</v>
      </c>
      <c r="D80" s="2">
        <f>IFERROR(__xludf.DUMMYFUNCTION("""COMPUTED_VALUE"""),162.8)</f>
        <v>162.8</v>
      </c>
      <c r="E80" s="2">
        <f>IFERROR(__xludf.DUMMYFUNCTION("""COMPUTED_VALUE"""),163.76)</f>
        <v>163.76</v>
      </c>
      <c r="F80" s="2">
        <f>IFERROR(__xludf.DUMMYFUNCTION("""COMPUTED_VALUE"""),4.5498796E7)</f>
        <v>45498796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IFERROR(__xludf.DUMMYFUNCTION("""COMPUTED_VALUE"""),165.19)</f>
        <v>165.19</v>
      </c>
      <c r="C81" s="2">
        <f>IFERROR(__xludf.DUMMYFUNCTION("""COMPUTED_VALUE"""),168.56)</f>
        <v>168.56</v>
      </c>
      <c r="D81" s="2">
        <f>IFERROR(__xludf.DUMMYFUNCTION("""COMPUTED_VALUE"""),165.19)</f>
        <v>165.19</v>
      </c>
      <c r="E81" s="2">
        <f>IFERROR(__xludf.DUMMYFUNCTION("""COMPUTED_VALUE"""),168.41)</f>
        <v>168.41</v>
      </c>
      <c r="F81" s="2">
        <f>IFERROR(__xludf.DUMMYFUNCTION("""COMPUTED_VALUE"""),6.4902329E7)</f>
        <v>64902329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IFERROR(__xludf.DUMMYFUNCTION("""COMPUTED_VALUE"""),168.49)</f>
        <v>168.49</v>
      </c>
      <c r="C82" s="2">
        <f>IFERROR(__xludf.DUMMYFUNCTION("""COMPUTED_VALUE"""),169.85)</f>
        <v>169.85</v>
      </c>
      <c r="D82" s="2">
        <f>IFERROR(__xludf.DUMMYFUNCTION("""COMPUTED_VALUE"""),167.88)</f>
        <v>167.88</v>
      </c>
      <c r="E82" s="2">
        <f>IFERROR(__xludf.DUMMYFUNCTION("""COMPUTED_VALUE"""),169.68)</f>
        <v>169.68</v>
      </c>
      <c r="F82" s="2">
        <f>IFERROR(__xludf.DUMMYFUNCTION("""COMPUTED_VALUE"""),5.5275851E7)</f>
        <v>55275851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IFERROR(__xludf.DUMMYFUNCTION("""COMPUTED_VALUE"""),169.28)</f>
        <v>169.28</v>
      </c>
      <c r="C83" s="2">
        <f>IFERROR(__xludf.DUMMYFUNCTION("""COMPUTED_VALUE"""),170.45)</f>
        <v>170.45</v>
      </c>
      <c r="D83" s="2">
        <f>IFERROR(__xludf.DUMMYFUNCTION("""COMPUTED_VALUE"""),168.64)</f>
        <v>168.64</v>
      </c>
      <c r="E83" s="2">
        <f>IFERROR(__xludf.DUMMYFUNCTION("""COMPUTED_VALUE"""),169.59)</f>
        <v>169.59</v>
      </c>
      <c r="F83" s="2">
        <f>IFERROR(__xludf.DUMMYFUNCTION("""COMPUTED_VALUE"""),5.2472936E7)</f>
        <v>52472936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IFERROR(__xludf.DUMMYFUNCTION("""COMPUTED_VALUE"""),170.09)</f>
        <v>170.09</v>
      </c>
      <c r="C84" s="2">
        <f>IFERROR(__xludf.DUMMYFUNCTION("""COMPUTED_VALUE"""),170.35)</f>
        <v>170.35</v>
      </c>
      <c r="D84" s="2">
        <f>IFERROR(__xludf.DUMMYFUNCTION("""COMPUTED_VALUE"""),167.54)</f>
        <v>167.54</v>
      </c>
      <c r="E84" s="2">
        <f>IFERROR(__xludf.DUMMYFUNCTION("""COMPUTED_VALUE"""),168.54)</f>
        <v>168.54</v>
      </c>
      <c r="F84" s="2">
        <f>IFERROR(__xludf.DUMMYFUNCTION("""COMPUTED_VALUE"""),4.8425696E7)</f>
        <v>48425696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IFERROR(__xludf.DUMMYFUNCTION("""COMPUTED_VALUE"""),169.5)</f>
        <v>169.5</v>
      </c>
      <c r="C85" s="2">
        <f>IFERROR(__xludf.DUMMYFUNCTION("""COMPUTED_VALUE"""),170.92)</f>
        <v>170.92</v>
      </c>
      <c r="D85" s="2">
        <f>IFERROR(__xludf.DUMMYFUNCTION("""COMPUTED_VALUE"""),167.16)</f>
        <v>167.16</v>
      </c>
      <c r="E85" s="2">
        <f>IFERROR(__xludf.DUMMYFUNCTION("""COMPUTED_VALUE"""),167.45)</f>
        <v>167.45</v>
      </c>
      <c r="F85" s="2">
        <f>IFERROR(__xludf.DUMMYFUNCTION("""COMPUTED_VALUE"""),6.5136018E7)</f>
        <v>65136018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IFERROR(__xludf.DUMMYFUNCTION("""COMPUTED_VALUE"""),164.89)</f>
        <v>164.89</v>
      </c>
      <c r="C86" s="2">
        <f>IFERROR(__xludf.DUMMYFUNCTION("""COMPUTED_VALUE"""),167.04)</f>
        <v>167.04</v>
      </c>
      <c r="D86" s="2">
        <f>IFERROR(__xludf.DUMMYFUNCTION("""COMPUTED_VALUE"""),164.31)</f>
        <v>164.31</v>
      </c>
      <c r="E86" s="2">
        <f>IFERROR(__xludf.DUMMYFUNCTION("""COMPUTED_VALUE"""),165.79)</f>
        <v>165.79</v>
      </c>
      <c r="F86" s="2">
        <f>IFERROR(__xludf.DUMMYFUNCTION("""COMPUTED_VALUE"""),8.1235427E7)</f>
        <v>81235427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IFERROR(__xludf.DUMMYFUNCTION("""COMPUTED_VALUE"""),170.98)</f>
        <v>170.98</v>
      </c>
      <c r="C87" s="2">
        <f>IFERROR(__xludf.DUMMYFUNCTION("""COMPUTED_VALUE"""),174.3)</f>
        <v>174.3</v>
      </c>
      <c r="D87" s="2">
        <f>IFERROR(__xludf.DUMMYFUNCTION("""COMPUTED_VALUE"""),170.76)</f>
        <v>170.76</v>
      </c>
      <c r="E87" s="2">
        <f>IFERROR(__xludf.DUMMYFUNCTION("""COMPUTED_VALUE"""),173.57)</f>
        <v>173.57</v>
      </c>
      <c r="F87" s="2">
        <f>IFERROR(__xludf.DUMMYFUNCTION("""COMPUTED_VALUE"""),1.13453171E8)</f>
        <v>113453171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IFERROR(__xludf.DUMMYFUNCTION("""COMPUTED_VALUE"""),172.48)</f>
        <v>172.48</v>
      </c>
      <c r="C88" s="2">
        <f>IFERROR(__xludf.DUMMYFUNCTION("""COMPUTED_VALUE"""),173.85)</f>
        <v>173.85</v>
      </c>
      <c r="D88" s="2">
        <f>IFERROR(__xludf.DUMMYFUNCTION("""COMPUTED_VALUE"""),172.11)</f>
        <v>172.11</v>
      </c>
      <c r="E88" s="2">
        <f>IFERROR(__xludf.DUMMYFUNCTION("""COMPUTED_VALUE"""),173.5)</f>
        <v>173.5</v>
      </c>
      <c r="F88" s="2">
        <f>IFERROR(__xludf.DUMMYFUNCTION("""COMPUTED_VALUE"""),5.5962793E7)</f>
        <v>55962793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IFERROR(__xludf.DUMMYFUNCTION("""COMPUTED_VALUE"""),173.05)</f>
        <v>173.05</v>
      </c>
      <c r="C89" s="2">
        <f>IFERROR(__xludf.DUMMYFUNCTION("""COMPUTED_VALUE"""),173.54)</f>
        <v>173.54</v>
      </c>
      <c r="D89" s="2">
        <f>IFERROR(__xludf.DUMMYFUNCTION("""COMPUTED_VALUE"""),171.6)</f>
        <v>171.6</v>
      </c>
      <c r="E89" s="2">
        <f>IFERROR(__xludf.DUMMYFUNCTION("""COMPUTED_VALUE"""),171.77)</f>
        <v>171.77</v>
      </c>
      <c r="F89" s="2">
        <f>IFERROR(__xludf.DUMMYFUNCTION("""COMPUTED_VALUE"""),4.5326874E7)</f>
        <v>45326874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IFERROR(__xludf.DUMMYFUNCTION("""COMPUTED_VALUE"""),173.02)</f>
        <v>173.02</v>
      </c>
      <c r="C90" s="2">
        <f>IFERROR(__xludf.DUMMYFUNCTION("""COMPUTED_VALUE"""),174.03)</f>
        <v>174.03</v>
      </c>
      <c r="D90" s="2">
        <f>IFERROR(__xludf.DUMMYFUNCTION("""COMPUTED_VALUE"""),171.9)</f>
        <v>171.9</v>
      </c>
      <c r="E90" s="2">
        <f>IFERROR(__xludf.DUMMYFUNCTION("""COMPUTED_VALUE"""),173.56)</f>
        <v>173.56</v>
      </c>
      <c r="F90" s="2">
        <f>IFERROR(__xludf.DUMMYFUNCTION("""COMPUTED_VALUE"""),5.3724501E7)</f>
        <v>53724501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IFERROR(__xludf.DUMMYFUNCTION("""COMPUTED_VALUE"""),173.85)</f>
        <v>173.85</v>
      </c>
      <c r="C91" s="2">
        <f>IFERROR(__xludf.DUMMYFUNCTION("""COMPUTED_VALUE"""),174.59)</f>
        <v>174.59</v>
      </c>
      <c r="D91" s="2">
        <f>IFERROR(__xludf.DUMMYFUNCTION("""COMPUTED_VALUE"""),172.17)</f>
        <v>172.17</v>
      </c>
      <c r="E91" s="2">
        <f>IFERROR(__xludf.DUMMYFUNCTION("""COMPUTED_VALUE"""),173.75)</f>
        <v>173.75</v>
      </c>
      <c r="F91" s="2">
        <f>IFERROR(__xludf.DUMMYFUNCTION("""COMPUTED_VALUE"""),4.9514676E7)</f>
        <v>49514676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IFERROR(__xludf.DUMMYFUNCTION("""COMPUTED_VALUE"""),173.62)</f>
        <v>173.62</v>
      </c>
      <c r="C92" s="2">
        <f>IFERROR(__xludf.DUMMYFUNCTION("""COMPUTED_VALUE"""),174.06)</f>
        <v>174.06</v>
      </c>
      <c r="D92" s="2">
        <f>IFERROR(__xludf.DUMMYFUNCTION("""COMPUTED_VALUE"""),171.0)</f>
        <v>171</v>
      </c>
      <c r="E92" s="2">
        <f>IFERROR(__xludf.DUMMYFUNCTION("""COMPUTED_VALUE"""),172.57)</f>
        <v>172.57</v>
      </c>
      <c r="F92" s="2">
        <f>IFERROR(__xludf.DUMMYFUNCTION("""COMPUTED_VALUE"""),4.5533138E7)</f>
        <v>45533138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IFERROR(__xludf.DUMMYFUNCTION("""COMPUTED_VALUE"""),173.16)</f>
        <v>173.16</v>
      </c>
      <c r="C93" s="2">
        <f>IFERROR(__xludf.DUMMYFUNCTION("""COMPUTED_VALUE"""),173.21)</f>
        <v>173.21</v>
      </c>
      <c r="D93" s="2">
        <f>IFERROR(__xludf.DUMMYFUNCTION("""COMPUTED_VALUE"""),171.47)</f>
        <v>171.47</v>
      </c>
      <c r="E93" s="2">
        <f>IFERROR(__xludf.DUMMYFUNCTION("""COMPUTED_VALUE"""),172.07)</f>
        <v>172.07</v>
      </c>
      <c r="F93" s="2">
        <f>IFERROR(__xludf.DUMMYFUNCTION("""COMPUTED_VALUE"""),3.7266659E7)</f>
        <v>37266659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IFERROR(__xludf.DUMMYFUNCTION("""COMPUTED_VALUE"""),171.99)</f>
        <v>171.99</v>
      </c>
      <c r="C94" s="2">
        <f>IFERROR(__xludf.DUMMYFUNCTION("""COMPUTED_VALUE"""),173.14)</f>
        <v>173.14</v>
      </c>
      <c r="D94" s="2">
        <f>IFERROR(__xludf.DUMMYFUNCTION("""COMPUTED_VALUE"""),171.8)</f>
        <v>171.8</v>
      </c>
      <c r="E94" s="2">
        <f>IFERROR(__xludf.DUMMYFUNCTION("""COMPUTED_VALUE"""),172.07)</f>
        <v>172.07</v>
      </c>
      <c r="F94" s="2">
        <f>IFERROR(__xludf.DUMMYFUNCTION("""COMPUTED_VALUE"""),4.2110293E7)</f>
        <v>42110293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IFERROR(__xludf.DUMMYFUNCTION("""COMPUTED_VALUE"""),171.71)</f>
        <v>171.71</v>
      </c>
      <c r="C95" s="2">
        <f>IFERROR(__xludf.DUMMYFUNCTION("""COMPUTED_VALUE"""),172.93)</f>
        <v>172.93</v>
      </c>
      <c r="D95" s="2">
        <f>IFERROR(__xludf.DUMMYFUNCTION("""COMPUTED_VALUE"""),170.42)</f>
        <v>170.42</v>
      </c>
      <c r="E95" s="2">
        <f>IFERROR(__xludf.DUMMYFUNCTION("""COMPUTED_VALUE"""),172.69)</f>
        <v>172.69</v>
      </c>
      <c r="F95" s="2">
        <f>IFERROR(__xludf.DUMMYFUNCTION("""COMPUTED_VALUE"""),5.7951604E7)</f>
        <v>57951604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IFERROR(__xludf.DUMMYFUNCTION("""COMPUTED_VALUE"""),173.0)</f>
        <v>173</v>
      </c>
      <c r="C96" s="2">
        <f>IFERROR(__xludf.DUMMYFUNCTION("""COMPUTED_VALUE"""),175.24)</f>
        <v>175.24</v>
      </c>
      <c r="D96" s="2">
        <f>IFERROR(__xludf.DUMMYFUNCTION("""COMPUTED_VALUE"""),172.58)</f>
        <v>172.58</v>
      </c>
      <c r="E96" s="2">
        <f>IFERROR(__xludf.DUMMYFUNCTION("""COMPUTED_VALUE"""),175.05)</f>
        <v>175.05</v>
      </c>
      <c r="F96" s="2">
        <f>IFERROR(__xludf.DUMMYFUNCTION("""COMPUTED_VALUE"""),6.5496657E7)</f>
        <v>65496657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IFERROR(__xludf.DUMMYFUNCTION("""COMPUTED_VALUE"""),176.39)</f>
        <v>176.39</v>
      </c>
      <c r="C97" s="2">
        <f>IFERROR(__xludf.DUMMYFUNCTION("""COMPUTED_VALUE"""),176.39)</f>
        <v>176.39</v>
      </c>
      <c r="D97" s="2">
        <f>IFERROR(__xludf.DUMMYFUNCTION("""COMPUTED_VALUE"""),174.94)</f>
        <v>174.94</v>
      </c>
      <c r="E97" s="2">
        <f>IFERROR(__xludf.DUMMYFUNCTION("""COMPUTED_VALUE"""),175.16)</f>
        <v>175.16</v>
      </c>
      <c r="F97" s="2">
        <f>IFERROR(__xludf.DUMMYFUNCTION("""COMPUTED_VALUE"""),5.5809475E7)</f>
        <v>55809475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IFERROR(__xludf.DUMMYFUNCTION("""COMPUTED_VALUE"""),173.98)</f>
        <v>173.98</v>
      </c>
      <c r="C98" s="2">
        <f>IFERROR(__xludf.DUMMYFUNCTION("""COMPUTED_VALUE"""),174.71)</f>
        <v>174.71</v>
      </c>
      <c r="D98" s="2">
        <f>IFERROR(__xludf.DUMMYFUNCTION("""COMPUTED_VALUE"""),173.45)</f>
        <v>173.45</v>
      </c>
      <c r="E98" s="2">
        <f>IFERROR(__xludf.DUMMYFUNCTION("""COMPUTED_VALUE"""),174.2)</f>
        <v>174.2</v>
      </c>
      <c r="F98" s="2">
        <f>IFERROR(__xludf.DUMMYFUNCTION("""COMPUTED_VALUE"""),4.3570932E7)</f>
        <v>43570932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IFERROR(__xludf.DUMMYFUNCTION("""COMPUTED_VALUE"""),173.13)</f>
        <v>173.13</v>
      </c>
      <c r="C99" s="2">
        <f>IFERROR(__xludf.DUMMYFUNCTION("""COMPUTED_VALUE"""),173.38)</f>
        <v>173.38</v>
      </c>
      <c r="D99" s="2">
        <f>IFERROR(__xludf.DUMMYFUNCTION("""COMPUTED_VALUE"""),171.28)</f>
        <v>171.28</v>
      </c>
      <c r="E99" s="2">
        <f>IFERROR(__xludf.DUMMYFUNCTION("""COMPUTED_VALUE"""),171.56)</f>
        <v>171.56</v>
      </c>
      <c r="F99" s="2">
        <f>IFERROR(__xludf.DUMMYFUNCTION("""COMPUTED_VALUE"""),5.0747263E7)</f>
        <v>50747263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IFERROR(__xludf.DUMMYFUNCTION("""COMPUTED_VALUE"""),171.09)</f>
        <v>171.09</v>
      </c>
      <c r="C100" s="2">
        <f>IFERROR(__xludf.DUMMYFUNCTION("""COMPUTED_VALUE"""),172.42)</f>
        <v>172.42</v>
      </c>
      <c r="D100" s="2">
        <f>IFERROR(__xludf.DUMMYFUNCTION("""COMPUTED_VALUE"""),170.52)</f>
        <v>170.52</v>
      </c>
      <c r="E100" s="2">
        <f>IFERROR(__xludf.DUMMYFUNCTION("""COMPUTED_VALUE"""),171.84)</f>
        <v>171.84</v>
      </c>
      <c r="F100" s="2">
        <f>IFERROR(__xludf.DUMMYFUNCTION("""COMPUTED_VALUE"""),4.5143488E7)</f>
        <v>45143488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IFERROR(__xludf.DUMMYFUNCTION("""COMPUTED_VALUE"""),172.41)</f>
        <v>172.41</v>
      </c>
      <c r="C101" s="2">
        <f>IFERROR(__xludf.DUMMYFUNCTION("""COMPUTED_VALUE"""),173.9)</f>
        <v>173.9</v>
      </c>
      <c r="D101" s="2">
        <f>IFERROR(__xludf.DUMMYFUNCTION("""COMPUTED_VALUE"""),171.69)</f>
        <v>171.69</v>
      </c>
      <c r="E101" s="2">
        <f>IFERROR(__xludf.DUMMYFUNCTION("""COMPUTED_VALUE"""),172.99)</f>
        <v>172.99</v>
      </c>
      <c r="F101" s="2">
        <f>IFERROR(__xludf.DUMMYFUNCTION("""COMPUTED_VALUE"""),5.6058258E7)</f>
        <v>56058258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IFERROR(__xludf.DUMMYFUNCTION("""COMPUTED_VALUE"""),173.32)</f>
        <v>173.32</v>
      </c>
      <c r="C102" s="2">
        <f>IFERROR(__xludf.DUMMYFUNCTION("""COMPUTED_VALUE"""),175.77)</f>
        <v>175.77</v>
      </c>
      <c r="D102" s="2">
        <f>IFERROR(__xludf.DUMMYFUNCTION("""COMPUTED_VALUE"""),173.11)</f>
        <v>173.11</v>
      </c>
      <c r="E102" s="2">
        <f>IFERROR(__xludf.DUMMYFUNCTION("""COMPUTED_VALUE"""),175.43)</f>
        <v>175.43</v>
      </c>
      <c r="F102" s="2">
        <f>IFERROR(__xludf.DUMMYFUNCTION("""COMPUTED_VALUE"""),5.4834975E7)</f>
        <v>54834975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IFERROR(__xludf.DUMMYFUNCTION("""COMPUTED_VALUE"""),176.96)</f>
        <v>176.96</v>
      </c>
      <c r="C103" s="2">
        <f>IFERROR(__xludf.DUMMYFUNCTION("""COMPUTED_VALUE"""),178.99)</f>
        <v>178.99</v>
      </c>
      <c r="D103" s="2">
        <f>IFERROR(__xludf.DUMMYFUNCTION("""COMPUTED_VALUE"""),176.57)</f>
        <v>176.57</v>
      </c>
      <c r="E103" s="2">
        <f>IFERROR(__xludf.DUMMYFUNCTION("""COMPUTED_VALUE"""),177.3)</f>
        <v>177.3</v>
      </c>
      <c r="F103" s="2">
        <f>IFERROR(__xludf.DUMMYFUNCTION("""COMPUTED_VALUE"""),5.5964401E7)</f>
        <v>55964401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IFERROR(__xludf.DUMMYFUNCTION("""COMPUTED_VALUE"""),177.33)</f>
        <v>177.33</v>
      </c>
      <c r="C104" s="2">
        <f>IFERROR(__xludf.DUMMYFUNCTION("""COMPUTED_VALUE"""),179.35)</f>
        <v>179.35</v>
      </c>
      <c r="D104" s="2">
        <f>IFERROR(__xludf.DUMMYFUNCTION("""COMPUTED_VALUE"""),176.76)</f>
        <v>176.76</v>
      </c>
      <c r="E104" s="2">
        <f>IFERROR(__xludf.DUMMYFUNCTION("""COMPUTED_VALUE"""),177.25)</f>
        <v>177.25</v>
      </c>
      <c r="F104" s="2">
        <f>IFERROR(__xludf.DUMMYFUNCTION("""COMPUTED_VALUE"""),9.9625288E7)</f>
        <v>99625288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IFERROR(__xludf.DUMMYFUNCTION("""COMPUTED_VALUE"""),177.7)</f>
        <v>177.7</v>
      </c>
      <c r="C105" s="2">
        <f>IFERROR(__xludf.DUMMYFUNCTION("""COMPUTED_VALUE"""),180.12)</f>
        <v>180.12</v>
      </c>
      <c r="D105" s="2">
        <f>IFERROR(__xludf.DUMMYFUNCTION("""COMPUTED_VALUE"""),176.93)</f>
        <v>176.93</v>
      </c>
      <c r="E105" s="2">
        <f>IFERROR(__xludf.DUMMYFUNCTION("""COMPUTED_VALUE"""),180.09)</f>
        <v>180.09</v>
      </c>
      <c r="F105" s="2">
        <f>IFERROR(__xludf.DUMMYFUNCTION("""COMPUTED_VALUE"""),6.8901809E7)</f>
        <v>68901809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IFERROR(__xludf.DUMMYFUNCTION("""COMPUTED_VALUE"""),181.03)</f>
        <v>181.03</v>
      </c>
      <c r="C106" s="2">
        <f>IFERROR(__xludf.DUMMYFUNCTION("""COMPUTED_VALUE"""),181.78)</f>
        <v>181.78</v>
      </c>
      <c r="D106" s="2">
        <f>IFERROR(__xludf.DUMMYFUNCTION("""COMPUTED_VALUE"""),179.26)</f>
        <v>179.26</v>
      </c>
      <c r="E106" s="2">
        <f>IFERROR(__xludf.DUMMYFUNCTION("""COMPUTED_VALUE"""),180.95)</f>
        <v>180.95</v>
      </c>
      <c r="F106" s="2">
        <f>IFERROR(__xludf.DUMMYFUNCTION("""COMPUTED_VALUE"""),6.1996913E7)</f>
        <v>61996913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IFERROR(__xludf.DUMMYFUNCTION("""COMPUTED_VALUE"""),182.63)</f>
        <v>182.63</v>
      </c>
      <c r="C107" s="2">
        <f>IFERROR(__xludf.DUMMYFUNCTION("""COMPUTED_VALUE"""),184.95)</f>
        <v>184.95</v>
      </c>
      <c r="D107" s="2">
        <f>IFERROR(__xludf.DUMMYFUNCTION("""COMPUTED_VALUE"""),178.04)</f>
        <v>178.04</v>
      </c>
      <c r="E107" s="2">
        <f>IFERROR(__xludf.DUMMYFUNCTION("""COMPUTED_VALUE"""),179.58)</f>
        <v>179.58</v>
      </c>
      <c r="F107" s="2">
        <f>IFERROR(__xludf.DUMMYFUNCTION("""COMPUTED_VALUE"""),1.21946497E8)</f>
        <v>121946497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IFERROR(__xludf.DUMMYFUNCTION("""COMPUTED_VALUE"""),179.97)</f>
        <v>179.97</v>
      </c>
      <c r="C108" s="2">
        <f>IFERROR(__xludf.DUMMYFUNCTION("""COMPUTED_VALUE"""),180.12)</f>
        <v>180.12</v>
      </c>
      <c r="D108" s="2">
        <f>IFERROR(__xludf.DUMMYFUNCTION("""COMPUTED_VALUE"""),177.43)</f>
        <v>177.43</v>
      </c>
      <c r="E108" s="2">
        <f>IFERROR(__xludf.DUMMYFUNCTION("""COMPUTED_VALUE"""),179.21)</f>
        <v>179.21</v>
      </c>
      <c r="F108" s="2">
        <f>IFERROR(__xludf.DUMMYFUNCTION("""COMPUTED_VALUE"""),6.4848374E7)</f>
        <v>64848374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IFERROR(__xludf.DUMMYFUNCTION("""COMPUTED_VALUE"""),178.44)</f>
        <v>178.44</v>
      </c>
      <c r="C109" s="2">
        <f>IFERROR(__xludf.DUMMYFUNCTION("""COMPUTED_VALUE"""),181.21)</f>
        <v>181.21</v>
      </c>
      <c r="D109" s="2">
        <f>IFERROR(__xludf.DUMMYFUNCTION("""COMPUTED_VALUE"""),177.32)</f>
        <v>177.32</v>
      </c>
      <c r="E109" s="2">
        <f>IFERROR(__xludf.DUMMYFUNCTION("""COMPUTED_VALUE"""),177.82)</f>
        <v>177.82</v>
      </c>
      <c r="F109" s="2">
        <f>IFERROR(__xludf.DUMMYFUNCTION("""COMPUTED_VALUE"""),6.1944615E7)</f>
        <v>61944615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IFERROR(__xludf.DUMMYFUNCTION("""COMPUTED_VALUE"""),177.9)</f>
        <v>177.9</v>
      </c>
      <c r="C110" s="2">
        <f>IFERROR(__xludf.DUMMYFUNCTION("""COMPUTED_VALUE"""),180.84)</f>
        <v>180.84</v>
      </c>
      <c r="D110" s="2">
        <f>IFERROR(__xludf.DUMMYFUNCTION("""COMPUTED_VALUE"""),177.46)</f>
        <v>177.46</v>
      </c>
      <c r="E110" s="2">
        <f>IFERROR(__xludf.DUMMYFUNCTION("""COMPUTED_VALUE"""),180.57)</f>
        <v>180.57</v>
      </c>
      <c r="F110" s="2">
        <f>IFERROR(__xludf.DUMMYFUNCTION("""COMPUTED_VALUE"""),5.0214881E7)</f>
        <v>50214881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IFERROR(__xludf.DUMMYFUNCTION("""COMPUTED_VALUE"""),181.5)</f>
        <v>181.5</v>
      </c>
      <c r="C111" s="2">
        <f>IFERROR(__xludf.DUMMYFUNCTION("""COMPUTED_VALUE"""),182.23)</f>
        <v>182.23</v>
      </c>
      <c r="D111" s="2">
        <f>IFERROR(__xludf.DUMMYFUNCTION("""COMPUTED_VALUE"""),180.63)</f>
        <v>180.63</v>
      </c>
      <c r="E111" s="2">
        <f>IFERROR(__xludf.DUMMYFUNCTION("""COMPUTED_VALUE"""),180.96)</f>
        <v>180.96</v>
      </c>
      <c r="F111" s="2">
        <f>IFERROR(__xludf.DUMMYFUNCTION("""COMPUTED_VALUE"""),4.8899973E7)</f>
        <v>48899973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IFERROR(__xludf.DUMMYFUNCTION("""COMPUTED_VALUE"""),181.27)</f>
        <v>181.27</v>
      </c>
      <c r="C112" s="2">
        <f>IFERROR(__xludf.DUMMYFUNCTION("""COMPUTED_VALUE"""),183.89)</f>
        <v>183.89</v>
      </c>
      <c r="D112" s="2">
        <f>IFERROR(__xludf.DUMMYFUNCTION("""COMPUTED_VALUE"""),180.97)</f>
        <v>180.97</v>
      </c>
      <c r="E112" s="2">
        <f>IFERROR(__xludf.DUMMYFUNCTION("""COMPUTED_VALUE"""),183.79)</f>
        <v>183.79</v>
      </c>
      <c r="F112" s="2">
        <f>IFERROR(__xludf.DUMMYFUNCTION("""COMPUTED_VALUE"""),5.4754995E7)</f>
        <v>54754995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IFERROR(__xludf.DUMMYFUNCTION("""COMPUTED_VALUE"""),182.8)</f>
        <v>182.8</v>
      </c>
      <c r="C113" s="2">
        <f>IFERROR(__xludf.DUMMYFUNCTION("""COMPUTED_VALUE"""),184.15)</f>
        <v>184.15</v>
      </c>
      <c r="D113" s="2">
        <f>IFERROR(__xludf.DUMMYFUNCTION("""COMPUTED_VALUE"""),182.44)</f>
        <v>182.44</v>
      </c>
      <c r="E113" s="2">
        <f>IFERROR(__xludf.DUMMYFUNCTION("""COMPUTED_VALUE"""),183.31)</f>
        <v>183.31</v>
      </c>
      <c r="F113" s="2">
        <f>IFERROR(__xludf.DUMMYFUNCTION("""COMPUTED_VALUE"""),5.4929129E7)</f>
        <v>54929129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IFERROR(__xludf.DUMMYFUNCTION("""COMPUTED_VALUE"""),183.37)</f>
        <v>183.37</v>
      </c>
      <c r="C114" s="2">
        <f>IFERROR(__xludf.DUMMYFUNCTION("""COMPUTED_VALUE"""),184.39)</f>
        <v>184.39</v>
      </c>
      <c r="D114" s="2">
        <f>IFERROR(__xludf.DUMMYFUNCTION("""COMPUTED_VALUE"""),182.02)</f>
        <v>182.02</v>
      </c>
      <c r="E114" s="2">
        <f>IFERROR(__xludf.DUMMYFUNCTION("""COMPUTED_VALUE"""),183.95)</f>
        <v>183.95</v>
      </c>
      <c r="F114" s="2">
        <f>IFERROR(__xludf.DUMMYFUNCTION("""COMPUTED_VALUE"""),5.7462882E7)</f>
        <v>57462882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IFERROR(__xludf.DUMMYFUNCTION("""COMPUTED_VALUE"""),183.96)</f>
        <v>183.96</v>
      </c>
      <c r="C115" s="2">
        <f>IFERROR(__xludf.DUMMYFUNCTION("""COMPUTED_VALUE"""),186.52)</f>
        <v>186.52</v>
      </c>
      <c r="D115" s="2">
        <f>IFERROR(__xludf.DUMMYFUNCTION("""COMPUTED_VALUE"""),183.78)</f>
        <v>183.78</v>
      </c>
      <c r="E115" s="2">
        <f>IFERROR(__xludf.DUMMYFUNCTION("""COMPUTED_VALUE"""),186.01)</f>
        <v>186.01</v>
      </c>
      <c r="F115" s="2">
        <f>IFERROR(__xludf.DUMMYFUNCTION("""COMPUTED_VALUE"""),6.5433166E7)</f>
        <v>65433166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IFERROR(__xludf.DUMMYFUNCTION("""COMPUTED_VALUE"""),186.73)</f>
        <v>186.73</v>
      </c>
      <c r="C116" s="2">
        <f>IFERROR(__xludf.DUMMYFUNCTION("""COMPUTED_VALUE"""),186.99)</f>
        <v>186.99</v>
      </c>
      <c r="D116" s="2">
        <f>IFERROR(__xludf.DUMMYFUNCTION("""COMPUTED_VALUE"""),184.27)</f>
        <v>184.27</v>
      </c>
      <c r="E116" s="2">
        <f>IFERROR(__xludf.DUMMYFUNCTION("""COMPUTED_VALUE"""),184.92)</f>
        <v>184.92</v>
      </c>
      <c r="F116" s="2">
        <f>IFERROR(__xludf.DUMMYFUNCTION("""COMPUTED_VALUE"""),1.01256225E8)</f>
        <v>101256225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IFERROR(__xludf.DUMMYFUNCTION("""COMPUTED_VALUE"""),184.41)</f>
        <v>184.41</v>
      </c>
      <c r="C117" s="2">
        <f>IFERROR(__xludf.DUMMYFUNCTION("""COMPUTED_VALUE"""),186.1)</f>
        <v>186.1</v>
      </c>
      <c r="D117" s="2">
        <f>IFERROR(__xludf.DUMMYFUNCTION("""COMPUTED_VALUE"""),184.41)</f>
        <v>184.41</v>
      </c>
      <c r="E117" s="2">
        <f>IFERROR(__xludf.DUMMYFUNCTION("""COMPUTED_VALUE"""),185.01)</f>
        <v>185.01</v>
      </c>
      <c r="F117" s="2">
        <f>IFERROR(__xludf.DUMMYFUNCTION("""COMPUTED_VALUE"""),4.9799092E7)</f>
        <v>49799092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IFERROR(__xludf.DUMMYFUNCTION("""COMPUTED_VALUE"""),184.9)</f>
        <v>184.9</v>
      </c>
      <c r="C118" s="2">
        <f>IFERROR(__xludf.DUMMYFUNCTION("""COMPUTED_VALUE"""),185.41)</f>
        <v>185.41</v>
      </c>
      <c r="D118" s="2">
        <f>IFERROR(__xludf.DUMMYFUNCTION("""COMPUTED_VALUE"""),182.59)</f>
        <v>182.59</v>
      </c>
      <c r="E118" s="2">
        <f>IFERROR(__xludf.DUMMYFUNCTION("""COMPUTED_VALUE"""),183.96)</f>
        <v>183.96</v>
      </c>
      <c r="F118" s="2">
        <f>IFERROR(__xludf.DUMMYFUNCTION("""COMPUTED_VALUE"""),4.9515697E7)</f>
        <v>49515697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IFERROR(__xludf.DUMMYFUNCTION("""COMPUTED_VALUE"""),183.74)</f>
        <v>183.74</v>
      </c>
      <c r="C119" s="2">
        <f>IFERROR(__xludf.DUMMYFUNCTION("""COMPUTED_VALUE"""),187.05)</f>
        <v>187.05</v>
      </c>
      <c r="D119" s="2">
        <f>IFERROR(__xludf.DUMMYFUNCTION("""COMPUTED_VALUE"""),183.67)</f>
        <v>183.67</v>
      </c>
      <c r="E119" s="2">
        <f>IFERROR(__xludf.DUMMYFUNCTION("""COMPUTED_VALUE"""),187.0)</f>
        <v>187</v>
      </c>
      <c r="F119" s="2">
        <f>IFERROR(__xludf.DUMMYFUNCTION("""COMPUTED_VALUE"""),5.1245327E7)</f>
        <v>51245327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IFERROR(__xludf.DUMMYFUNCTION("""COMPUTED_VALUE"""),185.55)</f>
        <v>185.55</v>
      </c>
      <c r="C120" s="2">
        <f>IFERROR(__xludf.DUMMYFUNCTION("""COMPUTED_VALUE"""),187.56)</f>
        <v>187.56</v>
      </c>
      <c r="D120" s="2">
        <f>IFERROR(__xludf.DUMMYFUNCTION("""COMPUTED_VALUE"""),185.01)</f>
        <v>185.01</v>
      </c>
      <c r="E120" s="2">
        <f>IFERROR(__xludf.DUMMYFUNCTION("""COMPUTED_VALUE"""),186.68)</f>
        <v>186.68</v>
      </c>
      <c r="F120" s="2">
        <f>IFERROR(__xludf.DUMMYFUNCTION("""COMPUTED_VALUE"""),5.3116996E7)</f>
        <v>53116996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IFERROR(__xludf.DUMMYFUNCTION("""COMPUTED_VALUE"""),186.83)</f>
        <v>186.83</v>
      </c>
      <c r="C121" s="2">
        <f>IFERROR(__xludf.DUMMYFUNCTION("""COMPUTED_VALUE"""),188.05)</f>
        <v>188.05</v>
      </c>
      <c r="D121" s="2">
        <f>IFERROR(__xludf.DUMMYFUNCTION("""COMPUTED_VALUE"""),185.23)</f>
        <v>185.23</v>
      </c>
      <c r="E121" s="2">
        <f>IFERROR(__xludf.DUMMYFUNCTION("""COMPUTED_VALUE"""),185.27)</f>
        <v>185.27</v>
      </c>
      <c r="F121" s="2">
        <f>IFERROR(__xludf.DUMMYFUNCTION("""COMPUTED_VALUE"""),4.8088661E7)</f>
        <v>48088661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IFERROR(__xludf.DUMMYFUNCTION("""COMPUTED_VALUE"""),185.89)</f>
        <v>185.89</v>
      </c>
      <c r="C122" s="2">
        <f>IFERROR(__xludf.DUMMYFUNCTION("""COMPUTED_VALUE"""),188.39)</f>
        <v>188.39</v>
      </c>
      <c r="D122" s="2">
        <f>IFERROR(__xludf.DUMMYFUNCTION("""COMPUTED_VALUE"""),185.67)</f>
        <v>185.67</v>
      </c>
      <c r="E122" s="2">
        <f>IFERROR(__xludf.DUMMYFUNCTION("""COMPUTED_VALUE"""),188.06)</f>
        <v>188.06</v>
      </c>
      <c r="F122" s="2">
        <f>IFERROR(__xludf.DUMMYFUNCTION("""COMPUTED_VALUE"""),5.0730846E7)</f>
        <v>50730846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IFERROR(__xludf.DUMMYFUNCTION("""COMPUTED_VALUE"""),187.93)</f>
        <v>187.93</v>
      </c>
      <c r="C123" s="2">
        <f>IFERROR(__xludf.DUMMYFUNCTION("""COMPUTED_VALUE"""),189.9)</f>
        <v>189.9</v>
      </c>
      <c r="D123" s="2">
        <f>IFERROR(__xludf.DUMMYFUNCTION("""COMPUTED_VALUE"""),187.6)</f>
        <v>187.6</v>
      </c>
      <c r="E123" s="2">
        <f>IFERROR(__xludf.DUMMYFUNCTION("""COMPUTED_VALUE"""),189.25)</f>
        <v>189.25</v>
      </c>
      <c r="F123" s="2">
        <f>IFERROR(__xludf.DUMMYFUNCTION("""COMPUTED_VALUE"""),5.1216801E7)</f>
        <v>51216801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IFERROR(__xludf.DUMMYFUNCTION("""COMPUTED_VALUE"""),189.08)</f>
        <v>189.08</v>
      </c>
      <c r="C124" s="2">
        <f>IFERROR(__xludf.DUMMYFUNCTION("""COMPUTED_VALUE"""),190.07)</f>
        <v>190.07</v>
      </c>
      <c r="D124" s="2">
        <f>IFERROR(__xludf.DUMMYFUNCTION("""COMPUTED_VALUE"""),188.94)</f>
        <v>188.94</v>
      </c>
      <c r="E124" s="2">
        <f>IFERROR(__xludf.DUMMYFUNCTION("""COMPUTED_VALUE"""),189.59)</f>
        <v>189.59</v>
      </c>
      <c r="F124" s="2">
        <f>IFERROR(__xludf.DUMMYFUNCTION("""COMPUTED_VALUE"""),4.6347308E7)</f>
        <v>46347308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IFERROR(__xludf.DUMMYFUNCTION("""COMPUTED_VALUE"""),191.63)</f>
        <v>191.63</v>
      </c>
      <c r="C125" s="2">
        <f>IFERROR(__xludf.DUMMYFUNCTION("""COMPUTED_VALUE"""),194.48)</f>
        <v>194.48</v>
      </c>
      <c r="D125" s="2">
        <f>IFERROR(__xludf.DUMMYFUNCTION("""COMPUTED_VALUE"""),191.26)</f>
        <v>191.26</v>
      </c>
      <c r="E125" s="2">
        <f>IFERROR(__xludf.DUMMYFUNCTION("""COMPUTED_VALUE"""),193.97)</f>
        <v>193.97</v>
      </c>
      <c r="F125" s="2">
        <f>IFERROR(__xludf.DUMMYFUNCTION("""COMPUTED_VALUE"""),8.5213216E7)</f>
        <v>85213216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IFERROR(__xludf.DUMMYFUNCTION("""COMPUTED_VALUE"""),193.78)</f>
        <v>193.78</v>
      </c>
      <c r="C126" s="2">
        <f>IFERROR(__xludf.DUMMYFUNCTION("""COMPUTED_VALUE"""),193.88)</f>
        <v>193.88</v>
      </c>
      <c r="D126" s="2">
        <f>IFERROR(__xludf.DUMMYFUNCTION("""COMPUTED_VALUE"""),191.76)</f>
        <v>191.76</v>
      </c>
      <c r="E126" s="2">
        <f>IFERROR(__xludf.DUMMYFUNCTION("""COMPUTED_VALUE"""),192.46)</f>
        <v>192.46</v>
      </c>
      <c r="F126" s="2">
        <f>IFERROR(__xludf.DUMMYFUNCTION("""COMPUTED_VALUE"""),3.1458198E7)</f>
        <v>31458198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IFERROR(__xludf.DUMMYFUNCTION("""COMPUTED_VALUE"""),191.57)</f>
        <v>191.57</v>
      </c>
      <c r="C127" s="2">
        <f>IFERROR(__xludf.DUMMYFUNCTION("""COMPUTED_VALUE"""),192.98)</f>
        <v>192.98</v>
      </c>
      <c r="D127" s="2">
        <f>IFERROR(__xludf.DUMMYFUNCTION("""COMPUTED_VALUE"""),190.62)</f>
        <v>190.62</v>
      </c>
      <c r="E127" s="2">
        <f>IFERROR(__xludf.DUMMYFUNCTION("""COMPUTED_VALUE"""),191.33)</f>
        <v>191.33</v>
      </c>
      <c r="F127" s="2">
        <f>IFERROR(__xludf.DUMMYFUNCTION("""COMPUTED_VALUE"""),4.6920261E7)</f>
        <v>46920261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IFERROR(__xludf.DUMMYFUNCTION("""COMPUTED_VALUE"""),189.84)</f>
        <v>189.84</v>
      </c>
      <c r="C128" s="2">
        <f>IFERROR(__xludf.DUMMYFUNCTION("""COMPUTED_VALUE"""),192.02)</f>
        <v>192.02</v>
      </c>
      <c r="D128" s="2">
        <f>IFERROR(__xludf.DUMMYFUNCTION("""COMPUTED_VALUE"""),189.2)</f>
        <v>189.2</v>
      </c>
      <c r="E128" s="2">
        <f>IFERROR(__xludf.DUMMYFUNCTION("""COMPUTED_VALUE"""),191.81)</f>
        <v>191.81</v>
      </c>
      <c r="F128" s="2">
        <f>IFERROR(__xludf.DUMMYFUNCTION("""COMPUTED_VALUE"""),4.5156009E7)</f>
        <v>45156009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IFERROR(__xludf.DUMMYFUNCTION("""COMPUTED_VALUE"""),191.41)</f>
        <v>191.41</v>
      </c>
      <c r="C129" s="2">
        <f>IFERROR(__xludf.DUMMYFUNCTION("""COMPUTED_VALUE"""),192.67)</f>
        <v>192.67</v>
      </c>
      <c r="D129" s="2">
        <f>IFERROR(__xludf.DUMMYFUNCTION("""COMPUTED_VALUE"""),190.24)</f>
        <v>190.24</v>
      </c>
      <c r="E129" s="2">
        <f>IFERROR(__xludf.DUMMYFUNCTION("""COMPUTED_VALUE"""),190.68)</f>
        <v>190.68</v>
      </c>
      <c r="F129" s="2">
        <f>IFERROR(__xludf.DUMMYFUNCTION("""COMPUTED_VALUE"""),4.6814998E7)</f>
        <v>46814998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IFERROR(__xludf.DUMMYFUNCTION("""COMPUTED_VALUE"""),189.26)</f>
        <v>189.26</v>
      </c>
      <c r="C130" s="2">
        <f>IFERROR(__xludf.DUMMYFUNCTION("""COMPUTED_VALUE"""),189.99)</f>
        <v>189.99</v>
      </c>
      <c r="D130" s="2">
        <f>IFERROR(__xludf.DUMMYFUNCTION("""COMPUTED_VALUE"""),187.04)</f>
        <v>187.04</v>
      </c>
      <c r="E130" s="2">
        <f>IFERROR(__xludf.DUMMYFUNCTION("""COMPUTED_VALUE"""),188.61)</f>
        <v>188.61</v>
      </c>
      <c r="F130" s="2">
        <f>IFERROR(__xludf.DUMMYFUNCTION("""COMPUTED_VALUE"""),5.9922163E7)</f>
        <v>59922163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IFERROR(__xludf.DUMMYFUNCTION("""COMPUTED_VALUE"""),189.16)</f>
        <v>189.16</v>
      </c>
      <c r="C131" s="2">
        <f>IFERROR(__xludf.DUMMYFUNCTION("""COMPUTED_VALUE"""),189.3)</f>
        <v>189.3</v>
      </c>
      <c r="D131" s="2">
        <f>IFERROR(__xludf.DUMMYFUNCTION("""COMPUTED_VALUE"""),186.6)</f>
        <v>186.6</v>
      </c>
      <c r="E131" s="2">
        <f>IFERROR(__xludf.DUMMYFUNCTION("""COMPUTED_VALUE"""),188.08)</f>
        <v>188.08</v>
      </c>
      <c r="F131" s="2">
        <f>IFERROR(__xludf.DUMMYFUNCTION("""COMPUTED_VALUE"""),4.6638119E7)</f>
        <v>46638119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IFERROR(__xludf.DUMMYFUNCTION("""COMPUTED_VALUE"""),189.68)</f>
        <v>189.68</v>
      </c>
      <c r="C132" s="2">
        <f>IFERROR(__xludf.DUMMYFUNCTION("""COMPUTED_VALUE"""),191.7)</f>
        <v>191.7</v>
      </c>
      <c r="D132" s="2">
        <f>IFERROR(__xludf.DUMMYFUNCTION("""COMPUTED_VALUE"""),188.47)</f>
        <v>188.47</v>
      </c>
      <c r="E132" s="2">
        <f>IFERROR(__xludf.DUMMYFUNCTION("""COMPUTED_VALUE"""),189.77)</f>
        <v>189.77</v>
      </c>
      <c r="F132" s="2">
        <f>IFERROR(__xludf.DUMMYFUNCTION("""COMPUTED_VALUE"""),6.0750248E7)</f>
        <v>60750248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IFERROR(__xludf.DUMMYFUNCTION("""COMPUTED_VALUE"""),190.5)</f>
        <v>190.5</v>
      </c>
      <c r="C133" s="2">
        <f>IFERROR(__xludf.DUMMYFUNCTION("""COMPUTED_VALUE"""),191.19)</f>
        <v>191.19</v>
      </c>
      <c r="D133" s="2">
        <f>IFERROR(__xludf.DUMMYFUNCTION("""COMPUTED_VALUE"""),189.78)</f>
        <v>189.78</v>
      </c>
      <c r="E133" s="2">
        <f>IFERROR(__xludf.DUMMYFUNCTION("""COMPUTED_VALUE"""),190.54)</f>
        <v>190.54</v>
      </c>
      <c r="F133" s="2">
        <f>IFERROR(__xludf.DUMMYFUNCTION("""COMPUTED_VALUE"""),4.1342338E7)</f>
        <v>41342338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IFERROR(__xludf.DUMMYFUNCTION("""COMPUTED_VALUE"""),190.23)</f>
        <v>190.23</v>
      </c>
      <c r="C134" s="2">
        <f>IFERROR(__xludf.DUMMYFUNCTION("""COMPUTED_VALUE"""),191.18)</f>
        <v>191.18</v>
      </c>
      <c r="D134" s="2">
        <f>IFERROR(__xludf.DUMMYFUNCTION("""COMPUTED_VALUE"""),189.63)</f>
        <v>189.63</v>
      </c>
      <c r="E134" s="2">
        <f>IFERROR(__xludf.DUMMYFUNCTION("""COMPUTED_VALUE"""),190.69)</f>
        <v>190.69</v>
      </c>
      <c r="F134" s="2">
        <f>IFERROR(__xludf.DUMMYFUNCTION("""COMPUTED_VALUE"""),4.1616242E7)</f>
        <v>41616242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IFERROR(__xludf.DUMMYFUNCTION("""COMPUTED_VALUE"""),191.9)</f>
        <v>191.9</v>
      </c>
      <c r="C135" s="2">
        <f>IFERROR(__xludf.DUMMYFUNCTION("""COMPUTED_VALUE"""),194.32)</f>
        <v>194.32</v>
      </c>
      <c r="D135" s="2">
        <f>IFERROR(__xludf.DUMMYFUNCTION("""COMPUTED_VALUE"""),191.81)</f>
        <v>191.81</v>
      </c>
      <c r="E135" s="2">
        <f>IFERROR(__xludf.DUMMYFUNCTION("""COMPUTED_VALUE"""),193.99)</f>
        <v>193.99</v>
      </c>
      <c r="F135" s="2">
        <f>IFERROR(__xludf.DUMMYFUNCTION("""COMPUTED_VALUE"""),5.0520159E7)</f>
        <v>50520159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IFERROR(__xludf.DUMMYFUNCTION("""COMPUTED_VALUE"""),193.35)</f>
        <v>193.35</v>
      </c>
      <c r="C136" s="2">
        <f>IFERROR(__xludf.DUMMYFUNCTION("""COMPUTED_VALUE"""),194.33)</f>
        <v>194.33</v>
      </c>
      <c r="D136" s="2">
        <f>IFERROR(__xludf.DUMMYFUNCTION("""COMPUTED_VALUE"""),192.42)</f>
        <v>192.42</v>
      </c>
      <c r="E136" s="2">
        <f>IFERROR(__xludf.DUMMYFUNCTION("""COMPUTED_VALUE"""),193.73)</f>
        <v>193.73</v>
      </c>
      <c r="F136" s="2">
        <f>IFERROR(__xludf.DUMMYFUNCTION("""COMPUTED_VALUE"""),4.8353774E7)</f>
        <v>48353774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IFERROR(__xludf.DUMMYFUNCTION("""COMPUTED_VALUE"""),193.1)</f>
        <v>193.1</v>
      </c>
      <c r="C137" s="2">
        <f>IFERROR(__xludf.DUMMYFUNCTION("""COMPUTED_VALUE"""),198.23)</f>
        <v>198.23</v>
      </c>
      <c r="D137" s="2">
        <f>IFERROR(__xludf.DUMMYFUNCTION("""COMPUTED_VALUE"""),192.65)</f>
        <v>192.65</v>
      </c>
      <c r="E137" s="2">
        <f>IFERROR(__xludf.DUMMYFUNCTION("""COMPUTED_VALUE"""),195.1)</f>
        <v>195.1</v>
      </c>
      <c r="F137" s="2">
        <f>IFERROR(__xludf.DUMMYFUNCTION("""COMPUTED_VALUE"""),8.0507323E7)</f>
        <v>80507323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IFERROR(__xludf.DUMMYFUNCTION("""COMPUTED_VALUE"""),195.09)</f>
        <v>195.09</v>
      </c>
      <c r="C138" s="2">
        <f>IFERROR(__xludf.DUMMYFUNCTION("""COMPUTED_VALUE"""),196.47)</f>
        <v>196.47</v>
      </c>
      <c r="D138" s="2">
        <f>IFERROR(__xludf.DUMMYFUNCTION("""COMPUTED_VALUE"""),192.5)</f>
        <v>192.5</v>
      </c>
      <c r="E138" s="2">
        <f>IFERROR(__xludf.DUMMYFUNCTION("""COMPUTED_VALUE"""),193.13)</f>
        <v>193.13</v>
      </c>
      <c r="F138" s="2">
        <f>IFERROR(__xludf.DUMMYFUNCTION("""COMPUTED_VALUE"""),5.9581196E7)</f>
        <v>59581196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IFERROR(__xludf.DUMMYFUNCTION("""COMPUTED_VALUE"""),194.1)</f>
        <v>194.1</v>
      </c>
      <c r="C139" s="2">
        <f>IFERROR(__xludf.DUMMYFUNCTION("""COMPUTED_VALUE"""),194.97)</f>
        <v>194.97</v>
      </c>
      <c r="D139" s="2">
        <f>IFERROR(__xludf.DUMMYFUNCTION("""COMPUTED_VALUE"""),191.23)</f>
        <v>191.23</v>
      </c>
      <c r="E139" s="2">
        <f>IFERROR(__xludf.DUMMYFUNCTION("""COMPUTED_VALUE"""),191.94)</f>
        <v>191.94</v>
      </c>
      <c r="F139" s="2">
        <f>IFERROR(__xludf.DUMMYFUNCTION("""COMPUTED_VALUE"""),7.1951683E7)</f>
        <v>71951683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IFERROR(__xludf.DUMMYFUNCTION("""COMPUTED_VALUE"""),193.41)</f>
        <v>193.41</v>
      </c>
      <c r="C140" s="2">
        <f>IFERROR(__xludf.DUMMYFUNCTION("""COMPUTED_VALUE"""),194.91)</f>
        <v>194.91</v>
      </c>
      <c r="D140" s="2">
        <f>IFERROR(__xludf.DUMMYFUNCTION("""COMPUTED_VALUE"""),192.25)</f>
        <v>192.25</v>
      </c>
      <c r="E140" s="2">
        <f>IFERROR(__xludf.DUMMYFUNCTION("""COMPUTED_VALUE"""),192.75)</f>
        <v>192.75</v>
      </c>
      <c r="F140" s="2">
        <f>IFERROR(__xludf.DUMMYFUNCTION("""COMPUTED_VALUE"""),4.5505097E7)</f>
        <v>45505097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IFERROR(__xludf.DUMMYFUNCTION("""COMPUTED_VALUE"""),193.33)</f>
        <v>193.33</v>
      </c>
      <c r="C141" s="2">
        <f>IFERROR(__xludf.DUMMYFUNCTION("""COMPUTED_VALUE"""),194.44)</f>
        <v>194.44</v>
      </c>
      <c r="D141" s="2">
        <f>IFERROR(__xludf.DUMMYFUNCTION("""COMPUTED_VALUE"""),192.92)</f>
        <v>192.92</v>
      </c>
      <c r="E141" s="2">
        <f>IFERROR(__xludf.DUMMYFUNCTION("""COMPUTED_VALUE"""),193.62)</f>
        <v>193.62</v>
      </c>
      <c r="F141" s="2">
        <f>IFERROR(__xludf.DUMMYFUNCTION("""COMPUTED_VALUE"""),3.7283201E7)</f>
        <v>37283201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IFERROR(__xludf.DUMMYFUNCTION("""COMPUTED_VALUE"""),193.67)</f>
        <v>193.67</v>
      </c>
      <c r="C142" s="2">
        <f>IFERROR(__xludf.DUMMYFUNCTION("""COMPUTED_VALUE"""),195.64)</f>
        <v>195.64</v>
      </c>
      <c r="D142" s="2">
        <f>IFERROR(__xludf.DUMMYFUNCTION("""COMPUTED_VALUE"""),193.32)</f>
        <v>193.32</v>
      </c>
      <c r="E142" s="2">
        <f>IFERROR(__xludf.DUMMYFUNCTION("""COMPUTED_VALUE"""),194.5)</f>
        <v>194.5</v>
      </c>
      <c r="F142" s="2">
        <f>IFERROR(__xludf.DUMMYFUNCTION("""COMPUTED_VALUE"""),4.7471868E7)</f>
        <v>47471868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IFERROR(__xludf.DUMMYFUNCTION("""COMPUTED_VALUE"""),196.02)</f>
        <v>196.02</v>
      </c>
      <c r="C143" s="2">
        <f>IFERROR(__xludf.DUMMYFUNCTION("""COMPUTED_VALUE"""),197.2)</f>
        <v>197.2</v>
      </c>
      <c r="D143" s="2">
        <f>IFERROR(__xludf.DUMMYFUNCTION("""COMPUTED_VALUE"""),192.55)</f>
        <v>192.55</v>
      </c>
      <c r="E143" s="2">
        <f>IFERROR(__xludf.DUMMYFUNCTION("""COMPUTED_VALUE"""),193.22)</f>
        <v>193.22</v>
      </c>
      <c r="F143" s="2">
        <f>IFERROR(__xludf.DUMMYFUNCTION("""COMPUTED_VALUE"""),4.746018E7)</f>
        <v>47460180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IFERROR(__xludf.DUMMYFUNCTION("""COMPUTED_VALUE"""),194.67)</f>
        <v>194.67</v>
      </c>
      <c r="C144" s="2">
        <f>IFERROR(__xludf.DUMMYFUNCTION("""COMPUTED_VALUE"""),196.63)</f>
        <v>196.63</v>
      </c>
      <c r="D144" s="2">
        <f>IFERROR(__xludf.DUMMYFUNCTION("""COMPUTED_VALUE"""),194.14)</f>
        <v>194.14</v>
      </c>
      <c r="E144" s="2">
        <f>IFERROR(__xludf.DUMMYFUNCTION("""COMPUTED_VALUE"""),195.83)</f>
        <v>195.83</v>
      </c>
      <c r="F144" s="2">
        <f>IFERROR(__xludf.DUMMYFUNCTION("""COMPUTED_VALUE"""),4.8291443E7)</f>
        <v>48291443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IFERROR(__xludf.DUMMYFUNCTION("""COMPUTED_VALUE"""),196.06)</f>
        <v>196.06</v>
      </c>
      <c r="C145" s="2">
        <f>IFERROR(__xludf.DUMMYFUNCTION("""COMPUTED_VALUE"""),196.49)</f>
        <v>196.49</v>
      </c>
      <c r="D145" s="2">
        <f>IFERROR(__xludf.DUMMYFUNCTION("""COMPUTED_VALUE"""),195.26)</f>
        <v>195.26</v>
      </c>
      <c r="E145" s="2">
        <f>IFERROR(__xludf.DUMMYFUNCTION("""COMPUTED_VALUE"""),196.45)</f>
        <v>196.45</v>
      </c>
      <c r="F145" s="2">
        <f>IFERROR(__xludf.DUMMYFUNCTION("""COMPUTED_VALUE"""),3.8824113E7)</f>
        <v>38824113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IFERROR(__xludf.DUMMYFUNCTION("""COMPUTED_VALUE"""),196.24)</f>
        <v>196.24</v>
      </c>
      <c r="C146" s="2">
        <f>IFERROR(__xludf.DUMMYFUNCTION("""COMPUTED_VALUE"""),196.73)</f>
        <v>196.73</v>
      </c>
      <c r="D146" s="2">
        <f>IFERROR(__xludf.DUMMYFUNCTION("""COMPUTED_VALUE"""),195.28)</f>
        <v>195.28</v>
      </c>
      <c r="E146" s="2">
        <f>IFERROR(__xludf.DUMMYFUNCTION("""COMPUTED_VALUE"""),195.61)</f>
        <v>195.61</v>
      </c>
      <c r="F146" s="2">
        <f>IFERROR(__xludf.DUMMYFUNCTION("""COMPUTED_VALUE"""),3.5281426E7)</f>
        <v>35281426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IFERROR(__xludf.DUMMYFUNCTION("""COMPUTED_VALUE"""),195.04)</f>
        <v>195.04</v>
      </c>
      <c r="C147" s="2">
        <f>IFERROR(__xludf.DUMMYFUNCTION("""COMPUTED_VALUE"""),195.18)</f>
        <v>195.18</v>
      </c>
      <c r="D147" s="2">
        <f>IFERROR(__xludf.DUMMYFUNCTION("""COMPUTED_VALUE"""),191.85)</f>
        <v>191.85</v>
      </c>
      <c r="E147" s="2">
        <f>IFERROR(__xludf.DUMMYFUNCTION("""COMPUTED_VALUE"""),192.58)</f>
        <v>192.58</v>
      </c>
      <c r="F147" s="2">
        <f>IFERROR(__xludf.DUMMYFUNCTION("""COMPUTED_VALUE"""),5.0389327E7)</f>
        <v>50389327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IFERROR(__xludf.DUMMYFUNCTION("""COMPUTED_VALUE"""),191.57)</f>
        <v>191.57</v>
      </c>
      <c r="C148" s="2">
        <f>IFERROR(__xludf.DUMMYFUNCTION("""COMPUTED_VALUE"""),192.37)</f>
        <v>192.37</v>
      </c>
      <c r="D148" s="2">
        <f>IFERROR(__xludf.DUMMYFUNCTION("""COMPUTED_VALUE"""),190.69)</f>
        <v>190.69</v>
      </c>
      <c r="E148" s="2">
        <f>IFERROR(__xludf.DUMMYFUNCTION("""COMPUTED_VALUE"""),191.17)</f>
        <v>191.17</v>
      </c>
      <c r="F148" s="2">
        <f>IFERROR(__xludf.DUMMYFUNCTION("""COMPUTED_VALUE"""),6.2243282E7)</f>
        <v>62243282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IFERROR(__xludf.DUMMYFUNCTION("""COMPUTED_VALUE"""),185.52)</f>
        <v>185.52</v>
      </c>
      <c r="C149" s="2">
        <f>IFERROR(__xludf.DUMMYFUNCTION("""COMPUTED_VALUE"""),187.38)</f>
        <v>187.38</v>
      </c>
      <c r="D149" s="2">
        <f>IFERROR(__xludf.DUMMYFUNCTION("""COMPUTED_VALUE"""),181.92)</f>
        <v>181.92</v>
      </c>
      <c r="E149" s="2">
        <f>IFERROR(__xludf.DUMMYFUNCTION("""COMPUTED_VALUE"""),181.99)</f>
        <v>181.99</v>
      </c>
      <c r="F149" s="2">
        <f>IFERROR(__xludf.DUMMYFUNCTION("""COMPUTED_VALUE"""),1.15956841E8)</f>
        <v>115956841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IFERROR(__xludf.DUMMYFUNCTION("""COMPUTED_VALUE"""),182.13)</f>
        <v>182.13</v>
      </c>
      <c r="C150" s="2">
        <f>IFERROR(__xludf.DUMMYFUNCTION("""COMPUTED_VALUE"""),183.13)</f>
        <v>183.13</v>
      </c>
      <c r="D150" s="2">
        <f>IFERROR(__xludf.DUMMYFUNCTION("""COMPUTED_VALUE"""),177.35)</f>
        <v>177.35</v>
      </c>
      <c r="E150" s="2">
        <f>IFERROR(__xludf.DUMMYFUNCTION("""COMPUTED_VALUE"""),178.85)</f>
        <v>178.85</v>
      </c>
      <c r="F150" s="2">
        <f>IFERROR(__xludf.DUMMYFUNCTION("""COMPUTED_VALUE"""),9.7576069E7)</f>
        <v>97576069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IFERROR(__xludf.DUMMYFUNCTION("""COMPUTED_VALUE"""),179.69)</f>
        <v>179.69</v>
      </c>
      <c r="C151" s="2">
        <f>IFERROR(__xludf.DUMMYFUNCTION("""COMPUTED_VALUE"""),180.27)</f>
        <v>180.27</v>
      </c>
      <c r="D151" s="2">
        <f>IFERROR(__xludf.DUMMYFUNCTION("""COMPUTED_VALUE"""),177.58)</f>
        <v>177.58</v>
      </c>
      <c r="E151" s="2">
        <f>IFERROR(__xludf.DUMMYFUNCTION("""COMPUTED_VALUE"""),179.8)</f>
        <v>179.8</v>
      </c>
      <c r="F151" s="2">
        <f>IFERROR(__xludf.DUMMYFUNCTION("""COMPUTED_VALUE"""),6.7823003E7)</f>
        <v>67823003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IFERROR(__xludf.DUMMYFUNCTION("""COMPUTED_VALUE"""),180.87)</f>
        <v>180.87</v>
      </c>
      <c r="C152" s="2">
        <f>IFERROR(__xludf.DUMMYFUNCTION("""COMPUTED_VALUE"""),180.93)</f>
        <v>180.93</v>
      </c>
      <c r="D152" s="2">
        <f>IFERROR(__xludf.DUMMYFUNCTION("""COMPUTED_VALUE"""),177.01)</f>
        <v>177.01</v>
      </c>
      <c r="E152" s="2">
        <f>IFERROR(__xludf.DUMMYFUNCTION("""COMPUTED_VALUE"""),178.19)</f>
        <v>178.19</v>
      </c>
      <c r="F152" s="2">
        <f>IFERROR(__xludf.DUMMYFUNCTION("""COMPUTED_VALUE"""),6.0378492E7)</f>
        <v>60378492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IFERROR(__xludf.DUMMYFUNCTION("""COMPUTED_VALUE"""),179.48)</f>
        <v>179.48</v>
      </c>
      <c r="C153" s="2">
        <f>IFERROR(__xludf.DUMMYFUNCTION("""COMPUTED_VALUE"""),180.75)</f>
        <v>180.75</v>
      </c>
      <c r="D153" s="2">
        <f>IFERROR(__xludf.DUMMYFUNCTION("""COMPUTED_VALUE"""),177.6)</f>
        <v>177.6</v>
      </c>
      <c r="E153" s="2">
        <f>IFERROR(__xludf.DUMMYFUNCTION("""COMPUTED_VALUE"""),177.97)</f>
        <v>177.97</v>
      </c>
      <c r="F153" s="2">
        <f>IFERROR(__xludf.DUMMYFUNCTION("""COMPUTED_VALUE"""),5.4686851E7)</f>
        <v>54686851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IFERROR(__xludf.DUMMYFUNCTION("""COMPUTED_VALUE"""),177.32)</f>
        <v>177.32</v>
      </c>
      <c r="C154" s="2">
        <f>IFERROR(__xludf.DUMMYFUNCTION("""COMPUTED_VALUE"""),178.62)</f>
        <v>178.62</v>
      </c>
      <c r="D154" s="2">
        <f>IFERROR(__xludf.DUMMYFUNCTION("""COMPUTED_VALUE"""),176.55)</f>
        <v>176.55</v>
      </c>
      <c r="E154" s="2">
        <f>IFERROR(__xludf.DUMMYFUNCTION("""COMPUTED_VALUE"""),177.79)</f>
        <v>177.79</v>
      </c>
      <c r="F154" s="2">
        <f>IFERROR(__xludf.DUMMYFUNCTION("""COMPUTED_VALUE"""),5.2036672E7)</f>
        <v>52036672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IFERROR(__xludf.DUMMYFUNCTION("""COMPUTED_VALUE"""),177.97)</f>
        <v>177.97</v>
      </c>
      <c r="C155" s="2">
        <f>IFERROR(__xludf.DUMMYFUNCTION("""COMPUTED_VALUE"""),179.69)</f>
        <v>179.69</v>
      </c>
      <c r="D155" s="2">
        <f>IFERROR(__xludf.DUMMYFUNCTION("""COMPUTED_VALUE"""),177.31)</f>
        <v>177.31</v>
      </c>
      <c r="E155" s="2">
        <f>IFERROR(__xludf.DUMMYFUNCTION("""COMPUTED_VALUE"""),179.46)</f>
        <v>179.46</v>
      </c>
      <c r="F155" s="2">
        <f>IFERROR(__xludf.DUMMYFUNCTION("""COMPUTED_VALUE"""),4.3675627E7)</f>
        <v>43675627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IFERROR(__xludf.DUMMYFUNCTION("""COMPUTED_VALUE"""),178.88)</f>
        <v>178.88</v>
      </c>
      <c r="C156" s="2">
        <f>IFERROR(__xludf.DUMMYFUNCTION("""COMPUTED_VALUE"""),179.48)</f>
        <v>179.48</v>
      </c>
      <c r="D156" s="2">
        <f>IFERROR(__xludf.DUMMYFUNCTION("""COMPUTED_VALUE"""),177.05)</f>
        <v>177.05</v>
      </c>
      <c r="E156" s="2">
        <f>IFERROR(__xludf.DUMMYFUNCTION("""COMPUTED_VALUE"""),177.45)</f>
        <v>177.45</v>
      </c>
      <c r="F156" s="2">
        <f>IFERROR(__xludf.DUMMYFUNCTION("""COMPUTED_VALUE"""),4.3622593E7)</f>
        <v>43622593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IFERROR(__xludf.DUMMYFUNCTION("""COMPUTED_VALUE"""),177.13)</f>
        <v>177.13</v>
      </c>
      <c r="C157" s="2">
        <f>IFERROR(__xludf.DUMMYFUNCTION("""COMPUTED_VALUE"""),178.54)</f>
        <v>178.54</v>
      </c>
      <c r="D157" s="2">
        <f>IFERROR(__xludf.DUMMYFUNCTION("""COMPUTED_VALUE"""),176.5)</f>
        <v>176.5</v>
      </c>
      <c r="E157" s="2">
        <f>IFERROR(__xludf.DUMMYFUNCTION("""COMPUTED_VALUE"""),176.57)</f>
        <v>176.57</v>
      </c>
      <c r="F157" s="2">
        <f>IFERROR(__xludf.DUMMYFUNCTION("""COMPUTED_VALUE"""),4.6964857E7)</f>
        <v>46964857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IFERROR(__xludf.DUMMYFUNCTION("""COMPUTED_VALUE"""),177.14)</f>
        <v>177.14</v>
      </c>
      <c r="C158" s="2">
        <f>IFERROR(__xludf.DUMMYFUNCTION("""COMPUTED_VALUE"""),177.51)</f>
        <v>177.51</v>
      </c>
      <c r="D158" s="2">
        <f>IFERROR(__xludf.DUMMYFUNCTION("""COMPUTED_VALUE"""),173.48)</f>
        <v>173.48</v>
      </c>
      <c r="E158" s="2">
        <f>IFERROR(__xludf.DUMMYFUNCTION("""COMPUTED_VALUE"""),174.0)</f>
        <v>174</v>
      </c>
      <c r="F158" s="2">
        <f>IFERROR(__xludf.DUMMYFUNCTION("""COMPUTED_VALUE"""),6.6062882E7)</f>
        <v>66062882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IFERROR(__xludf.DUMMYFUNCTION("""COMPUTED_VALUE"""),172.3)</f>
        <v>172.3</v>
      </c>
      <c r="C159" s="2">
        <f>IFERROR(__xludf.DUMMYFUNCTION("""COMPUTED_VALUE"""),175.1)</f>
        <v>175.1</v>
      </c>
      <c r="D159" s="2">
        <f>IFERROR(__xludf.DUMMYFUNCTION("""COMPUTED_VALUE"""),171.96)</f>
        <v>171.96</v>
      </c>
      <c r="E159" s="2">
        <f>IFERROR(__xludf.DUMMYFUNCTION("""COMPUTED_VALUE"""),174.49)</f>
        <v>174.49</v>
      </c>
      <c r="F159" s="2">
        <f>IFERROR(__xludf.DUMMYFUNCTION("""COMPUTED_VALUE"""),6.117215E7)</f>
        <v>61172150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IFERROR(__xludf.DUMMYFUNCTION("""COMPUTED_VALUE"""),175.07)</f>
        <v>175.07</v>
      </c>
      <c r="C160" s="2">
        <f>IFERROR(__xludf.DUMMYFUNCTION("""COMPUTED_VALUE"""),176.13)</f>
        <v>176.13</v>
      </c>
      <c r="D160" s="2">
        <f>IFERROR(__xludf.DUMMYFUNCTION("""COMPUTED_VALUE"""),173.74)</f>
        <v>173.74</v>
      </c>
      <c r="E160" s="2">
        <f>IFERROR(__xludf.DUMMYFUNCTION("""COMPUTED_VALUE"""),175.84)</f>
        <v>175.84</v>
      </c>
      <c r="F160" s="2">
        <f>IFERROR(__xludf.DUMMYFUNCTION("""COMPUTED_VALUE"""),4.6311879E7)</f>
        <v>46311879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IFERROR(__xludf.DUMMYFUNCTION("""COMPUTED_VALUE"""),177.06)</f>
        <v>177.06</v>
      </c>
      <c r="C161" s="2">
        <f>IFERROR(__xludf.DUMMYFUNCTION("""COMPUTED_VALUE"""),177.68)</f>
        <v>177.68</v>
      </c>
      <c r="D161" s="2">
        <f>IFERROR(__xludf.DUMMYFUNCTION("""COMPUTED_VALUE"""),176.25)</f>
        <v>176.25</v>
      </c>
      <c r="E161" s="2">
        <f>IFERROR(__xludf.DUMMYFUNCTION("""COMPUTED_VALUE"""),177.23)</f>
        <v>177.23</v>
      </c>
      <c r="F161" s="2">
        <f>IFERROR(__xludf.DUMMYFUNCTION("""COMPUTED_VALUE"""),4.2084245E7)</f>
        <v>42084245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IFERROR(__xludf.DUMMYFUNCTION("""COMPUTED_VALUE"""),178.52)</f>
        <v>178.52</v>
      </c>
      <c r="C162" s="2">
        <f>IFERROR(__xludf.DUMMYFUNCTION("""COMPUTED_VALUE"""),181.55)</f>
        <v>181.55</v>
      </c>
      <c r="D162" s="2">
        <f>IFERROR(__xludf.DUMMYFUNCTION("""COMPUTED_VALUE"""),178.33)</f>
        <v>178.33</v>
      </c>
      <c r="E162" s="2">
        <f>IFERROR(__xludf.DUMMYFUNCTION("""COMPUTED_VALUE"""),181.12)</f>
        <v>181.12</v>
      </c>
      <c r="F162" s="2">
        <f>IFERROR(__xludf.DUMMYFUNCTION("""COMPUTED_VALUE"""),5.2722752E7)</f>
        <v>52722752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IFERROR(__xludf.DUMMYFUNCTION("""COMPUTED_VALUE"""),180.67)</f>
        <v>180.67</v>
      </c>
      <c r="C163" s="2">
        <f>IFERROR(__xludf.DUMMYFUNCTION("""COMPUTED_VALUE"""),181.1)</f>
        <v>181.1</v>
      </c>
      <c r="D163" s="2">
        <f>IFERROR(__xludf.DUMMYFUNCTION("""COMPUTED_VALUE"""),176.01)</f>
        <v>176.01</v>
      </c>
      <c r="E163" s="2">
        <f>IFERROR(__xludf.DUMMYFUNCTION("""COMPUTED_VALUE"""),176.38)</f>
        <v>176.38</v>
      </c>
      <c r="F163" s="2">
        <f>IFERROR(__xludf.DUMMYFUNCTION("""COMPUTED_VALUE"""),5.4945798E7)</f>
        <v>54945798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IFERROR(__xludf.DUMMYFUNCTION("""COMPUTED_VALUE"""),177.38)</f>
        <v>177.38</v>
      </c>
      <c r="C164" s="2">
        <f>IFERROR(__xludf.DUMMYFUNCTION("""COMPUTED_VALUE"""),179.15)</f>
        <v>179.15</v>
      </c>
      <c r="D164" s="2">
        <f>IFERROR(__xludf.DUMMYFUNCTION("""COMPUTED_VALUE"""),175.82)</f>
        <v>175.82</v>
      </c>
      <c r="E164" s="2">
        <f>IFERROR(__xludf.DUMMYFUNCTION("""COMPUTED_VALUE"""),178.61)</f>
        <v>178.61</v>
      </c>
      <c r="F164" s="2">
        <f>IFERROR(__xludf.DUMMYFUNCTION("""COMPUTED_VALUE"""),5.1449594E7)</f>
        <v>51449594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IFERROR(__xludf.DUMMYFUNCTION("""COMPUTED_VALUE"""),180.09)</f>
        <v>180.09</v>
      </c>
      <c r="C165" s="2">
        <f>IFERROR(__xludf.DUMMYFUNCTION("""COMPUTED_VALUE"""),180.59)</f>
        <v>180.59</v>
      </c>
      <c r="D165" s="2">
        <f>IFERROR(__xludf.DUMMYFUNCTION("""COMPUTED_VALUE"""),178.55)</f>
        <v>178.55</v>
      </c>
      <c r="E165" s="2">
        <f>IFERROR(__xludf.DUMMYFUNCTION("""COMPUTED_VALUE"""),180.19)</f>
        <v>180.19</v>
      </c>
      <c r="F165" s="2">
        <f>IFERROR(__xludf.DUMMYFUNCTION("""COMPUTED_VALUE"""),4.3820697E7)</f>
        <v>43820697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IFERROR(__xludf.DUMMYFUNCTION("""COMPUTED_VALUE"""),179.7)</f>
        <v>179.7</v>
      </c>
      <c r="C166" s="2">
        <f>IFERROR(__xludf.DUMMYFUNCTION("""COMPUTED_VALUE"""),184.9)</f>
        <v>184.9</v>
      </c>
      <c r="D166" s="2">
        <f>IFERROR(__xludf.DUMMYFUNCTION("""COMPUTED_VALUE"""),179.5)</f>
        <v>179.5</v>
      </c>
      <c r="E166" s="2">
        <f>IFERROR(__xludf.DUMMYFUNCTION("""COMPUTED_VALUE"""),184.12)</f>
        <v>184.12</v>
      </c>
      <c r="F166" s="2">
        <f>IFERROR(__xludf.DUMMYFUNCTION("""COMPUTED_VALUE"""),5.3003948E7)</f>
        <v>53003948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IFERROR(__xludf.DUMMYFUNCTION("""COMPUTED_VALUE"""),184.94)</f>
        <v>184.94</v>
      </c>
      <c r="C167" s="2">
        <f>IFERROR(__xludf.DUMMYFUNCTION("""COMPUTED_VALUE"""),187.85)</f>
        <v>187.85</v>
      </c>
      <c r="D167" s="2">
        <f>IFERROR(__xludf.DUMMYFUNCTION("""COMPUTED_VALUE"""),184.74)</f>
        <v>184.74</v>
      </c>
      <c r="E167" s="2">
        <f>IFERROR(__xludf.DUMMYFUNCTION("""COMPUTED_VALUE"""),187.65)</f>
        <v>187.65</v>
      </c>
      <c r="F167" s="2">
        <f>IFERROR(__xludf.DUMMYFUNCTION("""COMPUTED_VALUE"""),6.0813888E7)</f>
        <v>60813888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IFERROR(__xludf.DUMMYFUNCTION("""COMPUTED_VALUE"""),187.84)</f>
        <v>187.84</v>
      </c>
      <c r="C168" s="2">
        <f>IFERROR(__xludf.DUMMYFUNCTION("""COMPUTED_VALUE"""),189.12)</f>
        <v>189.12</v>
      </c>
      <c r="D168" s="2">
        <f>IFERROR(__xludf.DUMMYFUNCTION("""COMPUTED_VALUE"""),187.48)</f>
        <v>187.48</v>
      </c>
      <c r="E168" s="2">
        <f>IFERROR(__xludf.DUMMYFUNCTION("""COMPUTED_VALUE"""),187.87)</f>
        <v>187.87</v>
      </c>
      <c r="F168" s="2">
        <f>IFERROR(__xludf.DUMMYFUNCTION("""COMPUTED_VALUE"""),6.0794467E7)</f>
        <v>60794467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IFERROR(__xludf.DUMMYFUNCTION("""COMPUTED_VALUE"""),189.49)</f>
        <v>189.49</v>
      </c>
      <c r="C169" s="2">
        <f>IFERROR(__xludf.DUMMYFUNCTION("""COMPUTED_VALUE"""),189.92)</f>
        <v>189.92</v>
      </c>
      <c r="D169" s="2">
        <f>IFERROR(__xludf.DUMMYFUNCTION("""COMPUTED_VALUE"""),188.28)</f>
        <v>188.28</v>
      </c>
      <c r="E169" s="2">
        <f>IFERROR(__xludf.DUMMYFUNCTION("""COMPUTED_VALUE"""),189.46)</f>
        <v>189.46</v>
      </c>
      <c r="F169" s="2">
        <f>IFERROR(__xludf.DUMMYFUNCTION("""COMPUTED_VALUE"""),4.5766503E7)</f>
        <v>45766503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IFERROR(__xludf.DUMMYFUNCTION("""COMPUTED_VALUE"""),188.28)</f>
        <v>188.28</v>
      </c>
      <c r="C170" s="2">
        <f>IFERROR(__xludf.DUMMYFUNCTION("""COMPUTED_VALUE"""),189.98)</f>
        <v>189.98</v>
      </c>
      <c r="D170" s="2">
        <f>IFERROR(__xludf.DUMMYFUNCTION("""COMPUTED_VALUE"""),187.61)</f>
        <v>187.61</v>
      </c>
      <c r="E170" s="2">
        <f>IFERROR(__xludf.DUMMYFUNCTION("""COMPUTED_VALUE"""),189.7)</f>
        <v>189.7</v>
      </c>
      <c r="F170" s="2">
        <f>IFERROR(__xludf.DUMMYFUNCTION("""COMPUTED_VALUE"""),4.5280027E7)</f>
        <v>45280027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IFERROR(__xludf.DUMMYFUNCTION("""COMPUTED_VALUE"""),188.4)</f>
        <v>188.4</v>
      </c>
      <c r="C171" s="2">
        <f>IFERROR(__xludf.DUMMYFUNCTION("""COMPUTED_VALUE"""),188.85)</f>
        <v>188.85</v>
      </c>
      <c r="D171" s="2">
        <f>IFERROR(__xludf.DUMMYFUNCTION("""COMPUTED_VALUE"""),181.47)</f>
        <v>181.47</v>
      </c>
      <c r="E171" s="2">
        <f>IFERROR(__xludf.DUMMYFUNCTION("""COMPUTED_VALUE"""),182.91)</f>
        <v>182.91</v>
      </c>
      <c r="F171" s="2">
        <f>IFERROR(__xludf.DUMMYFUNCTION("""COMPUTED_VALUE"""),8.1755816E7)</f>
        <v>81755816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IFERROR(__xludf.DUMMYFUNCTION("""COMPUTED_VALUE"""),175.18)</f>
        <v>175.18</v>
      </c>
      <c r="C172" s="2">
        <f>IFERROR(__xludf.DUMMYFUNCTION("""COMPUTED_VALUE"""),178.21)</f>
        <v>178.21</v>
      </c>
      <c r="D172" s="2">
        <f>IFERROR(__xludf.DUMMYFUNCTION("""COMPUTED_VALUE"""),173.54)</f>
        <v>173.54</v>
      </c>
      <c r="E172" s="2">
        <f>IFERROR(__xludf.DUMMYFUNCTION("""COMPUTED_VALUE"""),177.56)</f>
        <v>177.56</v>
      </c>
      <c r="F172" s="2">
        <f>IFERROR(__xludf.DUMMYFUNCTION("""COMPUTED_VALUE"""),1.12488803E8)</f>
        <v>112488803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IFERROR(__xludf.DUMMYFUNCTION("""COMPUTED_VALUE"""),178.35)</f>
        <v>178.35</v>
      </c>
      <c r="C173" s="2">
        <f>IFERROR(__xludf.DUMMYFUNCTION("""COMPUTED_VALUE"""),180.24)</f>
        <v>180.24</v>
      </c>
      <c r="D173" s="2">
        <f>IFERROR(__xludf.DUMMYFUNCTION("""COMPUTED_VALUE"""),177.79)</f>
        <v>177.79</v>
      </c>
      <c r="E173" s="2">
        <f>IFERROR(__xludf.DUMMYFUNCTION("""COMPUTED_VALUE"""),178.18)</f>
        <v>178.18</v>
      </c>
      <c r="F173" s="2">
        <f>IFERROR(__xludf.DUMMYFUNCTION("""COMPUTED_VALUE"""),6.5602066E7)</f>
        <v>65602066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IFERROR(__xludf.DUMMYFUNCTION("""COMPUTED_VALUE"""),180.07)</f>
        <v>180.07</v>
      </c>
      <c r="C174" s="2">
        <f>IFERROR(__xludf.DUMMYFUNCTION("""COMPUTED_VALUE"""),180.3)</f>
        <v>180.3</v>
      </c>
      <c r="D174" s="2">
        <f>IFERROR(__xludf.DUMMYFUNCTION("""COMPUTED_VALUE"""),177.34)</f>
        <v>177.34</v>
      </c>
      <c r="E174" s="2">
        <f>IFERROR(__xludf.DUMMYFUNCTION("""COMPUTED_VALUE"""),179.36)</f>
        <v>179.36</v>
      </c>
      <c r="F174" s="2">
        <f>IFERROR(__xludf.DUMMYFUNCTION("""COMPUTED_VALUE"""),5.8953052E7)</f>
        <v>58953052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IFERROR(__xludf.DUMMYFUNCTION("""COMPUTED_VALUE"""),179.49)</f>
        <v>179.49</v>
      </c>
      <c r="C175" s="2">
        <f>IFERROR(__xludf.DUMMYFUNCTION("""COMPUTED_VALUE"""),180.13)</f>
        <v>180.13</v>
      </c>
      <c r="D175" s="2">
        <f>IFERROR(__xludf.DUMMYFUNCTION("""COMPUTED_VALUE"""),174.82)</f>
        <v>174.82</v>
      </c>
      <c r="E175" s="2">
        <f>IFERROR(__xludf.DUMMYFUNCTION("""COMPUTED_VALUE"""),176.3)</f>
        <v>176.3</v>
      </c>
      <c r="F175" s="2">
        <f>IFERROR(__xludf.DUMMYFUNCTION("""COMPUTED_VALUE"""),9.0370192E7)</f>
        <v>90370192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IFERROR(__xludf.DUMMYFUNCTION("""COMPUTED_VALUE"""),176.51)</f>
        <v>176.51</v>
      </c>
      <c r="C176" s="2">
        <f>IFERROR(__xludf.DUMMYFUNCTION("""COMPUTED_VALUE"""),177.3)</f>
        <v>177.3</v>
      </c>
      <c r="D176" s="2">
        <f>IFERROR(__xludf.DUMMYFUNCTION("""COMPUTED_VALUE"""),173.98)</f>
        <v>173.98</v>
      </c>
      <c r="E176" s="2">
        <f>IFERROR(__xludf.DUMMYFUNCTION("""COMPUTED_VALUE"""),174.21)</f>
        <v>174.21</v>
      </c>
      <c r="F176" s="2">
        <f>IFERROR(__xludf.DUMMYFUNCTION("""COMPUTED_VALUE"""),8.4267928E7)</f>
        <v>84267928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IFERROR(__xludf.DUMMYFUNCTION("""COMPUTED_VALUE"""),174.0)</f>
        <v>174</v>
      </c>
      <c r="C177" s="2">
        <f>IFERROR(__xludf.DUMMYFUNCTION("""COMPUTED_VALUE"""),176.1)</f>
        <v>176.1</v>
      </c>
      <c r="D177" s="2">
        <f>IFERROR(__xludf.DUMMYFUNCTION("""COMPUTED_VALUE"""),173.58)</f>
        <v>173.58</v>
      </c>
      <c r="E177" s="2">
        <f>IFERROR(__xludf.DUMMYFUNCTION("""COMPUTED_VALUE"""),175.74)</f>
        <v>175.74</v>
      </c>
      <c r="F177" s="2">
        <f>IFERROR(__xludf.DUMMYFUNCTION("""COMPUTED_VALUE"""),6.0895757E7)</f>
        <v>60895757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IFERROR(__xludf.DUMMYFUNCTION("""COMPUTED_VALUE"""),176.48)</f>
        <v>176.48</v>
      </c>
      <c r="C178" s="2">
        <f>IFERROR(__xludf.DUMMYFUNCTION("""COMPUTED_VALUE"""),176.5)</f>
        <v>176.5</v>
      </c>
      <c r="D178" s="2">
        <f>IFERROR(__xludf.DUMMYFUNCTION("""COMPUTED_VALUE"""),173.82)</f>
        <v>173.82</v>
      </c>
      <c r="E178" s="2">
        <f>IFERROR(__xludf.DUMMYFUNCTION("""COMPUTED_VALUE"""),175.01)</f>
        <v>175.01</v>
      </c>
      <c r="F178" s="2">
        <f>IFERROR(__xludf.DUMMYFUNCTION("""COMPUTED_VALUE"""),1.09259461E8)</f>
        <v>109259461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IFERROR(__xludf.DUMMYFUNCTION("""COMPUTED_VALUE"""),176.48)</f>
        <v>176.48</v>
      </c>
      <c r="C179" s="2">
        <f>IFERROR(__xludf.DUMMYFUNCTION("""COMPUTED_VALUE"""),179.38)</f>
        <v>179.38</v>
      </c>
      <c r="D179" s="2">
        <f>IFERROR(__xludf.DUMMYFUNCTION("""COMPUTED_VALUE"""),176.17)</f>
        <v>176.17</v>
      </c>
      <c r="E179" s="2">
        <f>IFERROR(__xludf.DUMMYFUNCTION("""COMPUTED_VALUE"""),177.97)</f>
        <v>177.97</v>
      </c>
      <c r="F179" s="2">
        <f>IFERROR(__xludf.DUMMYFUNCTION("""COMPUTED_VALUE"""),6.7257573E7)</f>
        <v>67257573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IFERROR(__xludf.DUMMYFUNCTION("""COMPUTED_VALUE"""),177.52)</f>
        <v>177.52</v>
      </c>
      <c r="C180" s="2">
        <f>IFERROR(__xludf.DUMMYFUNCTION("""COMPUTED_VALUE"""),179.63)</f>
        <v>179.63</v>
      </c>
      <c r="D180" s="2">
        <f>IFERROR(__xludf.DUMMYFUNCTION("""COMPUTED_VALUE"""),177.13)</f>
        <v>177.13</v>
      </c>
      <c r="E180" s="2">
        <f>IFERROR(__xludf.DUMMYFUNCTION("""COMPUTED_VALUE"""),179.07)</f>
        <v>179.07</v>
      </c>
      <c r="F180" s="2">
        <f>IFERROR(__xludf.DUMMYFUNCTION("""COMPUTED_VALUE"""),5.1826941E7)</f>
        <v>51826941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IFERROR(__xludf.DUMMYFUNCTION("""COMPUTED_VALUE"""),179.26)</f>
        <v>179.26</v>
      </c>
      <c r="C181" s="2">
        <f>IFERROR(__xludf.DUMMYFUNCTION("""COMPUTED_VALUE"""),179.7)</f>
        <v>179.7</v>
      </c>
      <c r="D181" s="2">
        <f>IFERROR(__xludf.DUMMYFUNCTION("""COMPUTED_VALUE"""),175.4)</f>
        <v>175.4</v>
      </c>
      <c r="E181" s="2">
        <f>IFERROR(__xludf.DUMMYFUNCTION("""COMPUTED_VALUE"""),175.49)</f>
        <v>175.49</v>
      </c>
      <c r="F181" s="2">
        <f>IFERROR(__xludf.DUMMYFUNCTION("""COMPUTED_VALUE"""),5.8436181E7)</f>
        <v>58436181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IFERROR(__xludf.DUMMYFUNCTION("""COMPUTED_VALUE"""),174.55)</f>
        <v>174.55</v>
      </c>
      <c r="C182" s="2">
        <f>IFERROR(__xludf.DUMMYFUNCTION("""COMPUTED_VALUE"""),176.3)</f>
        <v>176.3</v>
      </c>
      <c r="D182" s="2">
        <f>IFERROR(__xludf.DUMMYFUNCTION("""COMPUTED_VALUE"""),173.86)</f>
        <v>173.86</v>
      </c>
      <c r="E182" s="2">
        <f>IFERROR(__xludf.DUMMYFUNCTION("""COMPUTED_VALUE"""),173.93)</f>
        <v>173.93</v>
      </c>
      <c r="F182" s="2">
        <f>IFERROR(__xludf.DUMMYFUNCTION("""COMPUTED_VALUE"""),6.3149116E7)</f>
        <v>63149116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IFERROR(__xludf.DUMMYFUNCTION("""COMPUTED_VALUE"""),174.67)</f>
        <v>174.67</v>
      </c>
      <c r="C183" s="2">
        <f>IFERROR(__xludf.DUMMYFUNCTION("""COMPUTED_VALUE"""),177.08)</f>
        <v>177.08</v>
      </c>
      <c r="D183" s="2">
        <f>IFERROR(__xludf.DUMMYFUNCTION("""COMPUTED_VALUE"""),174.05)</f>
        <v>174.05</v>
      </c>
      <c r="E183" s="2">
        <f>IFERROR(__xludf.DUMMYFUNCTION("""COMPUTED_VALUE"""),174.79)</f>
        <v>174.79</v>
      </c>
      <c r="F183" s="2">
        <f>IFERROR(__xludf.DUMMYFUNCTION("""COMPUTED_VALUE"""),5.6725385E7)</f>
        <v>56725385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IFERROR(__xludf.DUMMYFUNCTION("""COMPUTED_VALUE"""),174.2)</f>
        <v>174.2</v>
      </c>
      <c r="C184" s="2">
        <f>IFERROR(__xludf.DUMMYFUNCTION("""COMPUTED_VALUE"""),176.97)</f>
        <v>176.97</v>
      </c>
      <c r="D184" s="2">
        <f>IFERROR(__xludf.DUMMYFUNCTION("""COMPUTED_VALUE"""),174.15)</f>
        <v>174.15</v>
      </c>
      <c r="E184" s="2">
        <f>IFERROR(__xludf.DUMMYFUNCTION("""COMPUTED_VALUE"""),176.08)</f>
        <v>176.08</v>
      </c>
      <c r="F184" s="2">
        <f>IFERROR(__xludf.DUMMYFUNCTION("""COMPUTED_VALUE"""),4.617274E7)</f>
        <v>46172740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IFERROR(__xludf.DUMMYFUNCTION("""COMPUTED_VALUE"""),174.82)</f>
        <v>174.82</v>
      </c>
      <c r="C185" s="2">
        <f>IFERROR(__xludf.DUMMYFUNCTION("""COMPUTED_VALUE"""),175.2)</f>
        <v>175.2</v>
      </c>
      <c r="D185" s="2">
        <f>IFERROR(__xludf.DUMMYFUNCTION("""COMPUTED_VALUE"""),171.66)</f>
        <v>171.66</v>
      </c>
      <c r="E185" s="2">
        <f>IFERROR(__xludf.DUMMYFUNCTION("""COMPUTED_VALUE"""),171.96)</f>
        <v>171.96</v>
      </c>
      <c r="F185" s="2">
        <f>IFERROR(__xludf.DUMMYFUNCTION("""COMPUTED_VALUE"""),6.4588945E7)</f>
        <v>64588945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IFERROR(__xludf.DUMMYFUNCTION("""COMPUTED_VALUE"""),172.62)</f>
        <v>172.62</v>
      </c>
      <c r="C186" s="2">
        <f>IFERROR(__xludf.DUMMYFUNCTION("""COMPUTED_VALUE"""),173.04)</f>
        <v>173.04</v>
      </c>
      <c r="D186" s="2">
        <f>IFERROR(__xludf.DUMMYFUNCTION("""COMPUTED_VALUE"""),169.05)</f>
        <v>169.05</v>
      </c>
      <c r="E186" s="2">
        <f>IFERROR(__xludf.DUMMYFUNCTION("""COMPUTED_VALUE"""),170.43)</f>
        <v>170.43</v>
      </c>
      <c r="F186" s="2">
        <f>IFERROR(__xludf.DUMMYFUNCTION("""COMPUTED_VALUE"""),6.6921808E7)</f>
        <v>66921808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IFERROR(__xludf.DUMMYFUNCTION("""COMPUTED_VALUE"""),169.34)</f>
        <v>169.34</v>
      </c>
      <c r="C187" s="2">
        <f>IFERROR(__xludf.DUMMYFUNCTION("""COMPUTED_VALUE"""),172.03)</f>
        <v>172.03</v>
      </c>
      <c r="D187" s="2">
        <f>IFERROR(__xludf.DUMMYFUNCTION("""COMPUTED_VALUE"""),167.62)</f>
        <v>167.62</v>
      </c>
      <c r="E187" s="2">
        <f>IFERROR(__xludf.DUMMYFUNCTION("""COMPUTED_VALUE"""),170.69)</f>
        <v>170.69</v>
      </c>
      <c r="F187" s="2">
        <f>IFERROR(__xludf.DUMMYFUNCTION("""COMPUTED_VALUE"""),5.6294419E7)</f>
        <v>56294419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IFERROR(__xludf.DUMMYFUNCTION("""COMPUTED_VALUE"""),172.02)</f>
        <v>172.02</v>
      </c>
      <c r="C188" s="2">
        <f>IFERROR(__xludf.DUMMYFUNCTION("""COMPUTED_VALUE"""),173.07)</f>
        <v>173.07</v>
      </c>
      <c r="D188" s="2">
        <f>IFERROR(__xludf.DUMMYFUNCTION("""COMPUTED_VALUE"""),170.34)</f>
        <v>170.34</v>
      </c>
      <c r="E188" s="2">
        <f>IFERROR(__xludf.DUMMYFUNCTION("""COMPUTED_VALUE"""),171.21)</f>
        <v>171.21</v>
      </c>
      <c r="F188" s="2">
        <f>IFERROR(__xludf.DUMMYFUNCTION("""COMPUTED_VALUE"""),5.1861083E7)</f>
        <v>51861083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IFERROR(__xludf.DUMMYFUNCTION("""COMPUTED_VALUE"""),171.22)</f>
        <v>171.22</v>
      </c>
      <c r="C189" s="2">
        <f>IFERROR(__xludf.DUMMYFUNCTION("""COMPUTED_VALUE"""),174.3)</f>
        <v>174.3</v>
      </c>
      <c r="D189" s="2">
        <f>IFERROR(__xludf.DUMMYFUNCTION("""COMPUTED_VALUE"""),170.93)</f>
        <v>170.93</v>
      </c>
      <c r="E189" s="2">
        <f>IFERROR(__xludf.DUMMYFUNCTION("""COMPUTED_VALUE"""),173.75)</f>
        <v>173.75</v>
      </c>
      <c r="F189" s="2">
        <f>IFERROR(__xludf.DUMMYFUNCTION("""COMPUTED_VALUE"""),5.2164535E7)</f>
        <v>52164535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IFERROR(__xludf.DUMMYFUNCTION("""COMPUTED_VALUE"""),172.26)</f>
        <v>172.26</v>
      </c>
      <c r="C190" s="2">
        <f>IFERROR(__xludf.DUMMYFUNCTION("""COMPUTED_VALUE"""),173.63)</f>
        <v>173.63</v>
      </c>
      <c r="D190" s="2">
        <f>IFERROR(__xludf.DUMMYFUNCTION("""COMPUTED_VALUE"""),170.82)</f>
        <v>170.82</v>
      </c>
      <c r="E190" s="2">
        <f>IFERROR(__xludf.DUMMYFUNCTION("""COMPUTED_VALUE"""),172.4)</f>
        <v>172.4</v>
      </c>
      <c r="F190" s="2">
        <f>IFERROR(__xludf.DUMMYFUNCTION("""COMPUTED_VALUE"""),4.9594613E7)</f>
        <v>49594613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IFERROR(__xludf.DUMMYFUNCTION("""COMPUTED_VALUE"""),171.09)</f>
        <v>171.09</v>
      </c>
      <c r="C191" s="2">
        <f>IFERROR(__xludf.DUMMYFUNCTION("""COMPUTED_VALUE"""),174.21)</f>
        <v>174.21</v>
      </c>
      <c r="D191" s="2">
        <f>IFERROR(__xludf.DUMMYFUNCTION("""COMPUTED_VALUE"""),170.97)</f>
        <v>170.97</v>
      </c>
      <c r="E191" s="2">
        <f>IFERROR(__xludf.DUMMYFUNCTION("""COMPUTED_VALUE"""),173.66)</f>
        <v>173.66</v>
      </c>
      <c r="F191" s="2">
        <f>IFERROR(__xludf.DUMMYFUNCTION("""COMPUTED_VALUE"""),5.3020286E7)</f>
        <v>53020286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IFERROR(__xludf.DUMMYFUNCTION("""COMPUTED_VALUE"""),173.79)</f>
        <v>173.79</v>
      </c>
      <c r="C192" s="2">
        <f>IFERROR(__xludf.DUMMYFUNCTION("""COMPUTED_VALUE"""),175.45)</f>
        <v>175.45</v>
      </c>
      <c r="D192" s="2">
        <f>IFERROR(__xludf.DUMMYFUNCTION("""COMPUTED_VALUE"""),172.68)</f>
        <v>172.68</v>
      </c>
      <c r="E192" s="2">
        <f>IFERROR(__xludf.DUMMYFUNCTION("""COMPUTED_VALUE"""),174.91)</f>
        <v>174.91</v>
      </c>
      <c r="F192" s="2">
        <f>IFERROR(__xludf.DUMMYFUNCTION("""COMPUTED_VALUE"""),4.8527918E7)</f>
        <v>48527918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IFERROR(__xludf.DUMMYFUNCTION("""COMPUTED_VALUE"""),173.8)</f>
        <v>173.8</v>
      </c>
      <c r="C193" s="2">
        <f>IFERROR(__xludf.DUMMYFUNCTION("""COMPUTED_VALUE"""),177.99)</f>
        <v>177.99</v>
      </c>
      <c r="D193" s="2">
        <f>IFERROR(__xludf.DUMMYFUNCTION("""COMPUTED_VALUE"""),173.18)</f>
        <v>173.18</v>
      </c>
      <c r="E193" s="2">
        <f>IFERROR(__xludf.DUMMYFUNCTION("""COMPUTED_VALUE"""),177.49)</f>
        <v>177.49</v>
      </c>
      <c r="F193" s="2">
        <f>IFERROR(__xludf.DUMMYFUNCTION("""COMPUTED_VALUE"""),5.7266675E7)</f>
        <v>57266675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IFERROR(__xludf.DUMMYFUNCTION("""COMPUTED_VALUE"""),176.81)</f>
        <v>176.81</v>
      </c>
      <c r="C194" s="2">
        <f>IFERROR(__xludf.DUMMYFUNCTION("""COMPUTED_VALUE"""),179.05)</f>
        <v>179.05</v>
      </c>
      <c r="D194" s="2">
        <f>IFERROR(__xludf.DUMMYFUNCTION("""COMPUTED_VALUE"""),175.8)</f>
        <v>175.8</v>
      </c>
      <c r="E194" s="2">
        <f>IFERROR(__xludf.DUMMYFUNCTION("""COMPUTED_VALUE"""),178.99)</f>
        <v>178.99</v>
      </c>
      <c r="F194" s="2">
        <f>IFERROR(__xludf.DUMMYFUNCTION("""COMPUTED_VALUE"""),4.2390772E7)</f>
        <v>42390772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IFERROR(__xludf.DUMMYFUNCTION("""COMPUTED_VALUE"""),178.1)</f>
        <v>178.1</v>
      </c>
      <c r="C195" s="2">
        <f>IFERROR(__xludf.DUMMYFUNCTION("""COMPUTED_VALUE"""),179.72)</f>
        <v>179.72</v>
      </c>
      <c r="D195" s="2">
        <f>IFERROR(__xludf.DUMMYFUNCTION("""COMPUTED_VALUE"""),177.95)</f>
        <v>177.95</v>
      </c>
      <c r="E195" s="2">
        <f>IFERROR(__xludf.DUMMYFUNCTION("""COMPUTED_VALUE"""),178.39)</f>
        <v>178.39</v>
      </c>
      <c r="F195" s="2">
        <f>IFERROR(__xludf.DUMMYFUNCTION("""COMPUTED_VALUE"""),4.3698019E7)</f>
        <v>43698019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IFERROR(__xludf.DUMMYFUNCTION("""COMPUTED_VALUE"""),178.2)</f>
        <v>178.2</v>
      </c>
      <c r="C196" s="2">
        <f>IFERROR(__xludf.DUMMYFUNCTION("""COMPUTED_VALUE"""),179.85)</f>
        <v>179.85</v>
      </c>
      <c r="D196" s="2">
        <f>IFERROR(__xludf.DUMMYFUNCTION("""COMPUTED_VALUE"""),177.6)</f>
        <v>177.6</v>
      </c>
      <c r="E196" s="2">
        <f>IFERROR(__xludf.DUMMYFUNCTION("""COMPUTED_VALUE"""),179.8)</f>
        <v>179.8</v>
      </c>
      <c r="F196" s="2">
        <f>IFERROR(__xludf.DUMMYFUNCTION("""COMPUTED_VALUE"""),4.7551098E7)</f>
        <v>47551098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IFERROR(__xludf.DUMMYFUNCTION("""COMPUTED_VALUE"""),180.07)</f>
        <v>180.07</v>
      </c>
      <c r="C197" s="2">
        <f>IFERROR(__xludf.DUMMYFUNCTION("""COMPUTED_VALUE"""),182.34)</f>
        <v>182.34</v>
      </c>
      <c r="D197" s="2">
        <f>IFERROR(__xludf.DUMMYFUNCTION("""COMPUTED_VALUE"""),179.04)</f>
        <v>179.04</v>
      </c>
      <c r="E197" s="2">
        <f>IFERROR(__xludf.DUMMYFUNCTION("""COMPUTED_VALUE"""),180.71)</f>
        <v>180.71</v>
      </c>
      <c r="F197" s="2">
        <f>IFERROR(__xludf.DUMMYFUNCTION("""COMPUTED_VALUE"""),5.6743119E7)</f>
        <v>56743119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IFERROR(__xludf.DUMMYFUNCTION("""COMPUTED_VALUE"""),181.42)</f>
        <v>181.42</v>
      </c>
      <c r="C198" s="2">
        <f>IFERROR(__xludf.DUMMYFUNCTION("""COMPUTED_VALUE"""),181.93)</f>
        <v>181.93</v>
      </c>
      <c r="D198" s="2">
        <f>IFERROR(__xludf.DUMMYFUNCTION("""COMPUTED_VALUE"""),178.14)</f>
        <v>178.14</v>
      </c>
      <c r="E198" s="2">
        <f>IFERROR(__xludf.DUMMYFUNCTION("""COMPUTED_VALUE"""),178.85)</f>
        <v>178.85</v>
      </c>
      <c r="F198" s="2">
        <f>IFERROR(__xludf.DUMMYFUNCTION("""COMPUTED_VALUE"""),5.1456082E7)</f>
        <v>51456082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IFERROR(__xludf.DUMMYFUNCTION("""COMPUTED_VALUE"""),176.75)</f>
        <v>176.75</v>
      </c>
      <c r="C199" s="2">
        <f>IFERROR(__xludf.DUMMYFUNCTION("""COMPUTED_VALUE"""),179.08)</f>
        <v>179.08</v>
      </c>
      <c r="D199" s="2">
        <f>IFERROR(__xludf.DUMMYFUNCTION("""COMPUTED_VALUE"""),176.51)</f>
        <v>176.51</v>
      </c>
      <c r="E199" s="2">
        <f>IFERROR(__xludf.DUMMYFUNCTION("""COMPUTED_VALUE"""),178.72)</f>
        <v>178.72</v>
      </c>
      <c r="F199" s="2">
        <f>IFERROR(__xludf.DUMMYFUNCTION("""COMPUTED_VALUE"""),5.2516984E7)</f>
        <v>52516984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IFERROR(__xludf.DUMMYFUNCTION("""COMPUTED_VALUE"""),176.65)</f>
        <v>176.65</v>
      </c>
      <c r="C200" s="2">
        <f>IFERROR(__xludf.DUMMYFUNCTION("""COMPUTED_VALUE"""),178.42)</f>
        <v>178.42</v>
      </c>
      <c r="D200" s="2">
        <f>IFERROR(__xludf.DUMMYFUNCTION("""COMPUTED_VALUE"""),174.8)</f>
        <v>174.8</v>
      </c>
      <c r="E200" s="2">
        <f>IFERROR(__xludf.DUMMYFUNCTION("""COMPUTED_VALUE"""),177.15)</f>
        <v>177.15</v>
      </c>
      <c r="F200" s="2">
        <f>IFERROR(__xludf.DUMMYFUNCTION("""COMPUTED_VALUE"""),5.754935E7)</f>
        <v>57549350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IFERROR(__xludf.DUMMYFUNCTION("""COMPUTED_VALUE"""),175.58)</f>
        <v>175.58</v>
      </c>
      <c r="C201" s="2">
        <f>IFERROR(__xludf.DUMMYFUNCTION("""COMPUTED_VALUE"""),177.58)</f>
        <v>177.58</v>
      </c>
      <c r="D201" s="2">
        <f>IFERROR(__xludf.DUMMYFUNCTION("""COMPUTED_VALUE"""),175.11)</f>
        <v>175.11</v>
      </c>
      <c r="E201" s="2">
        <f>IFERROR(__xludf.DUMMYFUNCTION("""COMPUTED_VALUE"""),175.84)</f>
        <v>175.84</v>
      </c>
      <c r="F201" s="2">
        <f>IFERROR(__xludf.DUMMYFUNCTION("""COMPUTED_VALUE"""),5.4764375E7)</f>
        <v>54764375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IFERROR(__xludf.DUMMYFUNCTION("""COMPUTED_VALUE"""),176.04)</f>
        <v>176.04</v>
      </c>
      <c r="C202" s="2">
        <f>IFERROR(__xludf.DUMMYFUNCTION("""COMPUTED_VALUE"""),177.84)</f>
        <v>177.84</v>
      </c>
      <c r="D202" s="2">
        <f>IFERROR(__xludf.DUMMYFUNCTION("""COMPUTED_VALUE"""),175.19)</f>
        <v>175.19</v>
      </c>
      <c r="E202" s="2">
        <f>IFERROR(__xludf.DUMMYFUNCTION("""COMPUTED_VALUE"""),175.46)</f>
        <v>175.46</v>
      </c>
      <c r="F202" s="2">
        <f>IFERROR(__xludf.DUMMYFUNCTION("""COMPUTED_VALUE"""),5.9302863E7)</f>
        <v>59302863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IFERROR(__xludf.DUMMYFUNCTION("""COMPUTED_VALUE"""),175.31)</f>
        <v>175.31</v>
      </c>
      <c r="C203" s="2">
        <f>IFERROR(__xludf.DUMMYFUNCTION("""COMPUTED_VALUE"""),175.42)</f>
        <v>175.42</v>
      </c>
      <c r="D203" s="2">
        <f>IFERROR(__xludf.DUMMYFUNCTION("""COMPUTED_VALUE"""),172.64)</f>
        <v>172.64</v>
      </c>
      <c r="E203" s="2">
        <f>IFERROR(__xludf.DUMMYFUNCTION("""COMPUTED_VALUE"""),172.88)</f>
        <v>172.88</v>
      </c>
      <c r="F203" s="2">
        <f>IFERROR(__xludf.DUMMYFUNCTION("""COMPUTED_VALUE"""),6.4244028E7)</f>
        <v>64244028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IFERROR(__xludf.DUMMYFUNCTION("""COMPUTED_VALUE"""),170.91)</f>
        <v>170.91</v>
      </c>
      <c r="C204" s="2">
        <f>IFERROR(__xludf.DUMMYFUNCTION("""COMPUTED_VALUE"""),174.01)</f>
        <v>174.01</v>
      </c>
      <c r="D204" s="2">
        <f>IFERROR(__xludf.DUMMYFUNCTION("""COMPUTED_VALUE"""),169.93)</f>
        <v>169.93</v>
      </c>
      <c r="E204" s="2">
        <f>IFERROR(__xludf.DUMMYFUNCTION("""COMPUTED_VALUE"""),173.0)</f>
        <v>173</v>
      </c>
      <c r="F204" s="2">
        <f>IFERROR(__xludf.DUMMYFUNCTION("""COMPUTED_VALUE"""),5.5980109E7)</f>
        <v>55980109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IFERROR(__xludf.DUMMYFUNCTION("""COMPUTED_VALUE"""),173.05)</f>
        <v>173.05</v>
      </c>
      <c r="C205" s="2">
        <f>IFERROR(__xludf.DUMMYFUNCTION("""COMPUTED_VALUE"""),173.67)</f>
        <v>173.67</v>
      </c>
      <c r="D205" s="2">
        <f>IFERROR(__xludf.DUMMYFUNCTION("""COMPUTED_VALUE"""),171.45)</f>
        <v>171.45</v>
      </c>
      <c r="E205" s="2">
        <f>IFERROR(__xludf.DUMMYFUNCTION("""COMPUTED_VALUE"""),173.44)</f>
        <v>173.44</v>
      </c>
      <c r="F205" s="2">
        <f>IFERROR(__xludf.DUMMYFUNCTION("""COMPUTED_VALUE"""),4.3816644E7)</f>
        <v>43816644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IFERROR(__xludf.DUMMYFUNCTION("""COMPUTED_VALUE"""),171.88)</f>
        <v>171.88</v>
      </c>
      <c r="C206" s="2">
        <f>IFERROR(__xludf.DUMMYFUNCTION("""COMPUTED_VALUE"""),173.06)</f>
        <v>173.06</v>
      </c>
      <c r="D206" s="2">
        <f>IFERROR(__xludf.DUMMYFUNCTION("""COMPUTED_VALUE"""),170.65)</f>
        <v>170.65</v>
      </c>
      <c r="E206" s="2">
        <f>IFERROR(__xludf.DUMMYFUNCTION("""COMPUTED_VALUE"""),171.1)</f>
        <v>171.1</v>
      </c>
      <c r="F206" s="2">
        <f>IFERROR(__xludf.DUMMYFUNCTION("""COMPUTED_VALUE"""),5.7156962E7)</f>
        <v>57156962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IFERROR(__xludf.DUMMYFUNCTION("""COMPUTED_VALUE"""),170.37)</f>
        <v>170.37</v>
      </c>
      <c r="C207" s="2">
        <f>IFERROR(__xludf.DUMMYFUNCTION("""COMPUTED_VALUE"""),171.38)</f>
        <v>171.38</v>
      </c>
      <c r="D207" s="2">
        <f>IFERROR(__xludf.DUMMYFUNCTION("""COMPUTED_VALUE"""),165.67)</f>
        <v>165.67</v>
      </c>
      <c r="E207" s="2">
        <f>IFERROR(__xludf.DUMMYFUNCTION("""COMPUTED_VALUE"""),166.89)</f>
        <v>166.89</v>
      </c>
      <c r="F207" s="2">
        <f>IFERROR(__xludf.DUMMYFUNCTION("""COMPUTED_VALUE"""),7.0625258E7)</f>
        <v>70625258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IFERROR(__xludf.DUMMYFUNCTION("""COMPUTED_VALUE"""),166.91)</f>
        <v>166.91</v>
      </c>
      <c r="C208" s="2">
        <f>IFERROR(__xludf.DUMMYFUNCTION("""COMPUTED_VALUE"""),168.96)</f>
        <v>168.96</v>
      </c>
      <c r="D208" s="2">
        <f>IFERROR(__xludf.DUMMYFUNCTION("""COMPUTED_VALUE"""),166.83)</f>
        <v>166.83</v>
      </c>
      <c r="E208" s="2">
        <f>IFERROR(__xludf.DUMMYFUNCTION("""COMPUTED_VALUE"""),168.22)</f>
        <v>168.22</v>
      </c>
      <c r="F208" s="2">
        <f>IFERROR(__xludf.DUMMYFUNCTION("""COMPUTED_VALUE"""),5.8499129E7)</f>
        <v>58499129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IFERROR(__xludf.DUMMYFUNCTION("""COMPUTED_VALUE"""),169.02)</f>
        <v>169.02</v>
      </c>
      <c r="C209" s="2">
        <f>IFERROR(__xludf.DUMMYFUNCTION("""COMPUTED_VALUE"""),171.17)</f>
        <v>171.17</v>
      </c>
      <c r="D209" s="2">
        <f>IFERROR(__xludf.DUMMYFUNCTION("""COMPUTED_VALUE"""),168.87)</f>
        <v>168.87</v>
      </c>
      <c r="E209" s="2">
        <f>IFERROR(__xludf.DUMMYFUNCTION("""COMPUTED_VALUE"""),170.29)</f>
        <v>170.29</v>
      </c>
      <c r="F209" s="2">
        <f>IFERROR(__xludf.DUMMYFUNCTION("""COMPUTED_VALUE"""),5.1130955E7)</f>
        <v>51130955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IFERROR(__xludf.DUMMYFUNCTION("""COMPUTED_VALUE"""),169.35)</f>
        <v>169.35</v>
      </c>
      <c r="C210" s="2">
        <f>IFERROR(__xludf.DUMMYFUNCTION("""COMPUTED_VALUE"""),170.9)</f>
        <v>170.9</v>
      </c>
      <c r="D210" s="2">
        <f>IFERROR(__xludf.DUMMYFUNCTION("""COMPUTED_VALUE"""),167.9)</f>
        <v>167.9</v>
      </c>
      <c r="E210" s="2">
        <f>IFERROR(__xludf.DUMMYFUNCTION("""COMPUTED_VALUE"""),170.77)</f>
        <v>170.77</v>
      </c>
      <c r="F210" s="2">
        <f>IFERROR(__xludf.DUMMYFUNCTION("""COMPUTED_VALUE"""),4.4846017E7)</f>
        <v>44846017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IFERROR(__xludf.DUMMYFUNCTION("""COMPUTED_VALUE"""),171.0)</f>
        <v>171</v>
      </c>
      <c r="C211" s="2">
        <f>IFERROR(__xludf.DUMMYFUNCTION("""COMPUTED_VALUE"""),174.23)</f>
        <v>174.23</v>
      </c>
      <c r="D211" s="2">
        <f>IFERROR(__xludf.DUMMYFUNCTION("""COMPUTED_VALUE"""),170.12)</f>
        <v>170.12</v>
      </c>
      <c r="E211" s="2">
        <f>IFERROR(__xludf.DUMMYFUNCTION("""COMPUTED_VALUE"""),173.97)</f>
        <v>173.97</v>
      </c>
      <c r="F211" s="2">
        <f>IFERROR(__xludf.DUMMYFUNCTION("""COMPUTED_VALUE"""),5.6934906E7)</f>
        <v>56934906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IFERROR(__xludf.DUMMYFUNCTION("""COMPUTED_VALUE"""),175.52)</f>
        <v>175.52</v>
      </c>
      <c r="C212" s="2">
        <f>IFERROR(__xludf.DUMMYFUNCTION("""COMPUTED_VALUE"""),177.78)</f>
        <v>177.78</v>
      </c>
      <c r="D212" s="2">
        <f>IFERROR(__xludf.DUMMYFUNCTION("""COMPUTED_VALUE"""),175.46)</f>
        <v>175.46</v>
      </c>
      <c r="E212" s="2">
        <f>IFERROR(__xludf.DUMMYFUNCTION("""COMPUTED_VALUE"""),177.57)</f>
        <v>177.57</v>
      </c>
      <c r="F212" s="2">
        <f>IFERROR(__xludf.DUMMYFUNCTION("""COMPUTED_VALUE"""),7.7334752E7)</f>
        <v>77334752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IFERROR(__xludf.DUMMYFUNCTION("""COMPUTED_VALUE"""),174.24)</f>
        <v>174.24</v>
      </c>
      <c r="C213" s="2">
        <f>IFERROR(__xludf.DUMMYFUNCTION("""COMPUTED_VALUE"""),176.82)</f>
        <v>176.82</v>
      </c>
      <c r="D213" s="2">
        <f>IFERROR(__xludf.DUMMYFUNCTION("""COMPUTED_VALUE"""),173.35)</f>
        <v>173.35</v>
      </c>
      <c r="E213" s="2">
        <f>IFERROR(__xludf.DUMMYFUNCTION("""COMPUTED_VALUE"""),176.65)</f>
        <v>176.65</v>
      </c>
      <c r="F213" s="2">
        <f>IFERROR(__xludf.DUMMYFUNCTION("""COMPUTED_VALUE"""),7.9829246E7)</f>
        <v>79829246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IFERROR(__xludf.DUMMYFUNCTION("""COMPUTED_VALUE"""),176.38)</f>
        <v>176.38</v>
      </c>
      <c r="C214" s="2">
        <f>IFERROR(__xludf.DUMMYFUNCTION("""COMPUTED_VALUE"""),179.43)</f>
        <v>179.43</v>
      </c>
      <c r="D214" s="2">
        <f>IFERROR(__xludf.DUMMYFUNCTION("""COMPUTED_VALUE"""),176.21)</f>
        <v>176.21</v>
      </c>
      <c r="E214" s="2">
        <f>IFERROR(__xludf.DUMMYFUNCTION("""COMPUTED_VALUE"""),179.23)</f>
        <v>179.23</v>
      </c>
      <c r="F214" s="2">
        <f>IFERROR(__xludf.DUMMYFUNCTION("""COMPUTED_VALUE"""),6.384131E7)</f>
        <v>63841310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IFERROR(__xludf.DUMMYFUNCTION("""COMPUTED_VALUE"""),179.18)</f>
        <v>179.18</v>
      </c>
      <c r="C215" s="2">
        <f>IFERROR(__xludf.DUMMYFUNCTION("""COMPUTED_VALUE"""),182.44)</f>
        <v>182.44</v>
      </c>
      <c r="D215" s="2">
        <f>IFERROR(__xludf.DUMMYFUNCTION("""COMPUTED_VALUE"""),178.97)</f>
        <v>178.97</v>
      </c>
      <c r="E215" s="2">
        <f>IFERROR(__xludf.DUMMYFUNCTION("""COMPUTED_VALUE"""),181.82)</f>
        <v>181.82</v>
      </c>
      <c r="F215" s="2">
        <f>IFERROR(__xludf.DUMMYFUNCTION("""COMPUTED_VALUE"""),7.0529966E7)</f>
        <v>70529966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IFERROR(__xludf.DUMMYFUNCTION("""COMPUTED_VALUE"""),182.35)</f>
        <v>182.35</v>
      </c>
      <c r="C216" s="2">
        <f>IFERROR(__xludf.DUMMYFUNCTION("""COMPUTED_VALUE"""),183.45)</f>
        <v>183.45</v>
      </c>
      <c r="D216" s="2">
        <f>IFERROR(__xludf.DUMMYFUNCTION("""COMPUTED_VALUE"""),181.59)</f>
        <v>181.59</v>
      </c>
      <c r="E216" s="2">
        <f>IFERROR(__xludf.DUMMYFUNCTION("""COMPUTED_VALUE"""),182.89)</f>
        <v>182.89</v>
      </c>
      <c r="F216" s="2">
        <f>IFERROR(__xludf.DUMMYFUNCTION("""COMPUTED_VALUE"""),4.9340282E7)</f>
        <v>49340282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IFERROR(__xludf.DUMMYFUNCTION("""COMPUTED_VALUE"""),182.96)</f>
        <v>182.96</v>
      </c>
      <c r="C217" s="2">
        <f>IFERROR(__xludf.DUMMYFUNCTION("""COMPUTED_VALUE"""),184.12)</f>
        <v>184.12</v>
      </c>
      <c r="D217" s="2">
        <f>IFERROR(__xludf.DUMMYFUNCTION("""COMPUTED_VALUE"""),181.81)</f>
        <v>181.81</v>
      </c>
      <c r="E217" s="2">
        <f>IFERROR(__xludf.DUMMYFUNCTION("""COMPUTED_VALUE"""),182.41)</f>
        <v>182.41</v>
      </c>
      <c r="F217" s="2">
        <f>IFERROR(__xludf.DUMMYFUNCTION("""COMPUTED_VALUE"""),5.376354E7)</f>
        <v>53763540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IFERROR(__xludf.DUMMYFUNCTION("""COMPUTED_VALUE"""),183.97)</f>
        <v>183.97</v>
      </c>
      <c r="C218" s="2">
        <f>IFERROR(__xludf.DUMMYFUNCTION("""COMPUTED_VALUE"""),186.57)</f>
        <v>186.57</v>
      </c>
      <c r="D218" s="2">
        <f>IFERROR(__xludf.DUMMYFUNCTION("""COMPUTED_VALUE"""),183.53)</f>
        <v>183.53</v>
      </c>
      <c r="E218" s="2">
        <f>IFERROR(__xludf.DUMMYFUNCTION("""COMPUTED_VALUE"""),186.4)</f>
        <v>186.4</v>
      </c>
      <c r="F218" s="2">
        <f>IFERROR(__xludf.DUMMYFUNCTION("""COMPUTED_VALUE"""),6.6177922E7)</f>
        <v>66177922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IFERROR(__xludf.DUMMYFUNCTION("""COMPUTED_VALUE"""),185.82)</f>
        <v>185.82</v>
      </c>
      <c r="C219" s="2">
        <f>IFERROR(__xludf.DUMMYFUNCTION("""COMPUTED_VALUE"""),186.03)</f>
        <v>186.03</v>
      </c>
      <c r="D219" s="2">
        <f>IFERROR(__xludf.DUMMYFUNCTION("""COMPUTED_VALUE"""),184.21)</f>
        <v>184.21</v>
      </c>
      <c r="E219" s="2">
        <f>IFERROR(__xludf.DUMMYFUNCTION("""COMPUTED_VALUE"""),184.8)</f>
        <v>184.8</v>
      </c>
      <c r="F219" s="2">
        <f>IFERROR(__xludf.DUMMYFUNCTION("""COMPUTED_VALUE"""),4.3627519E7)</f>
        <v>43627519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IFERROR(__xludf.DUMMYFUNCTION("""COMPUTED_VALUE"""),187.7)</f>
        <v>187.7</v>
      </c>
      <c r="C220" s="2">
        <f>IFERROR(__xludf.DUMMYFUNCTION("""COMPUTED_VALUE"""),188.11)</f>
        <v>188.11</v>
      </c>
      <c r="D220" s="2">
        <f>IFERROR(__xludf.DUMMYFUNCTION("""COMPUTED_VALUE"""),186.3)</f>
        <v>186.3</v>
      </c>
      <c r="E220" s="2">
        <f>IFERROR(__xludf.DUMMYFUNCTION("""COMPUTED_VALUE"""),187.44)</f>
        <v>187.44</v>
      </c>
      <c r="F220" s="2">
        <f>IFERROR(__xludf.DUMMYFUNCTION("""COMPUTED_VALUE"""),6.0108378E7)</f>
        <v>60108378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IFERROR(__xludf.DUMMYFUNCTION("""COMPUTED_VALUE"""),187.85)</f>
        <v>187.85</v>
      </c>
      <c r="C221" s="2">
        <f>IFERROR(__xludf.DUMMYFUNCTION("""COMPUTED_VALUE"""),189.5)</f>
        <v>189.5</v>
      </c>
      <c r="D221" s="2">
        <f>IFERROR(__xludf.DUMMYFUNCTION("""COMPUTED_VALUE"""),187.78)</f>
        <v>187.78</v>
      </c>
      <c r="E221" s="2">
        <f>IFERROR(__xludf.DUMMYFUNCTION("""COMPUTED_VALUE"""),188.01)</f>
        <v>188.01</v>
      </c>
      <c r="F221" s="2">
        <f>IFERROR(__xludf.DUMMYFUNCTION("""COMPUTED_VALUE"""),5.3790499E7)</f>
        <v>53790499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IFERROR(__xludf.DUMMYFUNCTION("""COMPUTED_VALUE"""),189.57)</f>
        <v>189.57</v>
      </c>
      <c r="C222" s="2">
        <f>IFERROR(__xludf.DUMMYFUNCTION("""COMPUTED_VALUE"""),190.96)</f>
        <v>190.96</v>
      </c>
      <c r="D222" s="2">
        <f>IFERROR(__xludf.DUMMYFUNCTION("""COMPUTED_VALUE"""),188.65)</f>
        <v>188.65</v>
      </c>
      <c r="E222" s="2">
        <f>IFERROR(__xludf.DUMMYFUNCTION("""COMPUTED_VALUE"""),189.71)</f>
        <v>189.71</v>
      </c>
      <c r="F222" s="2">
        <f>IFERROR(__xludf.DUMMYFUNCTION("""COMPUTED_VALUE"""),5.4412915E7)</f>
        <v>54412915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IFERROR(__xludf.DUMMYFUNCTION("""COMPUTED_VALUE"""),190.25)</f>
        <v>190.25</v>
      </c>
      <c r="C223" s="2">
        <f>IFERROR(__xludf.DUMMYFUNCTION("""COMPUTED_VALUE"""),190.38)</f>
        <v>190.38</v>
      </c>
      <c r="D223" s="2">
        <f>IFERROR(__xludf.DUMMYFUNCTION("""COMPUTED_VALUE"""),188.57)</f>
        <v>188.57</v>
      </c>
      <c r="E223" s="2">
        <f>IFERROR(__xludf.DUMMYFUNCTION("""COMPUTED_VALUE"""),189.69)</f>
        <v>189.69</v>
      </c>
      <c r="F223" s="2">
        <f>IFERROR(__xludf.DUMMYFUNCTION("""COMPUTED_VALUE"""),5.0941404E7)</f>
        <v>50941404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IFERROR(__xludf.DUMMYFUNCTION("""COMPUTED_VALUE"""),189.89)</f>
        <v>189.89</v>
      </c>
      <c r="C224" s="2">
        <f>IFERROR(__xludf.DUMMYFUNCTION("""COMPUTED_VALUE"""),191.91)</f>
        <v>191.91</v>
      </c>
      <c r="D224" s="2">
        <f>IFERROR(__xludf.DUMMYFUNCTION("""COMPUTED_VALUE"""),189.88)</f>
        <v>189.88</v>
      </c>
      <c r="E224" s="2">
        <f>IFERROR(__xludf.DUMMYFUNCTION("""COMPUTED_VALUE"""),191.45)</f>
        <v>191.45</v>
      </c>
      <c r="F224" s="2">
        <f>IFERROR(__xludf.DUMMYFUNCTION("""COMPUTED_VALUE"""),4.6538614E7)</f>
        <v>46538614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IFERROR(__xludf.DUMMYFUNCTION("""COMPUTED_VALUE"""),191.41)</f>
        <v>191.41</v>
      </c>
      <c r="C225" s="2">
        <f>IFERROR(__xludf.DUMMYFUNCTION("""COMPUTED_VALUE"""),191.52)</f>
        <v>191.52</v>
      </c>
      <c r="D225" s="2">
        <f>IFERROR(__xludf.DUMMYFUNCTION("""COMPUTED_VALUE"""),189.74)</f>
        <v>189.74</v>
      </c>
      <c r="E225" s="2">
        <f>IFERROR(__xludf.DUMMYFUNCTION("""COMPUTED_VALUE"""),190.64)</f>
        <v>190.64</v>
      </c>
      <c r="F225" s="2">
        <f>IFERROR(__xludf.DUMMYFUNCTION("""COMPUTED_VALUE"""),3.8134485E7)</f>
        <v>38134485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IFERROR(__xludf.DUMMYFUNCTION("""COMPUTED_VALUE"""),191.49)</f>
        <v>191.49</v>
      </c>
      <c r="C226" s="2">
        <f>IFERROR(__xludf.DUMMYFUNCTION("""COMPUTED_VALUE"""),192.93)</f>
        <v>192.93</v>
      </c>
      <c r="D226" s="2">
        <f>IFERROR(__xludf.DUMMYFUNCTION("""COMPUTED_VALUE"""),190.83)</f>
        <v>190.83</v>
      </c>
      <c r="E226" s="2">
        <f>IFERROR(__xludf.DUMMYFUNCTION("""COMPUTED_VALUE"""),191.31)</f>
        <v>191.31</v>
      </c>
      <c r="F226" s="2">
        <f>IFERROR(__xludf.DUMMYFUNCTION("""COMPUTED_VALUE"""),3.9630011E7)</f>
        <v>39630011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IFERROR(__xludf.DUMMYFUNCTION("""COMPUTED_VALUE"""),190.87)</f>
        <v>190.87</v>
      </c>
      <c r="C227" s="2">
        <f>IFERROR(__xludf.DUMMYFUNCTION("""COMPUTED_VALUE"""),190.9)</f>
        <v>190.9</v>
      </c>
      <c r="D227" s="2">
        <f>IFERROR(__xludf.DUMMYFUNCTION("""COMPUTED_VALUE"""),189.25)</f>
        <v>189.25</v>
      </c>
      <c r="E227" s="2">
        <f>IFERROR(__xludf.DUMMYFUNCTION("""COMPUTED_VALUE"""),189.97)</f>
        <v>189.97</v>
      </c>
      <c r="F227" s="2">
        <f>IFERROR(__xludf.DUMMYFUNCTION("""COMPUTED_VALUE"""),2.4048344E7)</f>
        <v>24048344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IFERROR(__xludf.DUMMYFUNCTION("""COMPUTED_VALUE"""),189.92)</f>
        <v>189.92</v>
      </c>
      <c r="C228" s="2">
        <f>IFERROR(__xludf.DUMMYFUNCTION("""COMPUTED_VALUE"""),190.67)</f>
        <v>190.67</v>
      </c>
      <c r="D228" s="2">
        <f>IFERROR(__xludf.DUMMYFUNCTION("""COMPUTED_VALUE"""),188.9)</f>
        <v>188.9</v>
      </c>
      <c r="E228" s="2">
        <f>IFERROR(__xludf.DUMMYFUNCTION("""COMPUTED_VALUE"""),189.79)</f>
        <v>189.79</v>
      </c>
      <c r="F228" s="2">
        <f>IFERROR(__xludf.DUMMYFUNCTION("""COMPUTED_VALUE"""),4.0552609E7)</f>
        <v>40552609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IFERROR(__xludf.DUMMYFUNCTION("""COMPUTED_VALUE"""),189.78)</f>
        <v>189.78</v>
      </c>
      <c r="C229" s="2">
        <f>IFERROR(__xludf.DUMMYFUNCTION("""COMPUTED_VALUE"""),191.08)</f>
        <v>191.08</v>
      </c>
      <c r="D229" s="2">
        <f>IFERROR(__xludf.DUMMYFUNCTION("""COMPUTED_VALUE"""),189.4)</f>
        <v>189.4</v>
      </c>
      <c r="E229" s="2">
        <f>IFERROR(__xludf.DUMMYFUNCTION("""COMPUTED_VALUE"""),190.4)</f>
        <v>190.4</v>
      </c>
      <c r="F229" s="2">
        <f>IFERROR(__xludf.DUMMYFUNCTION("""COMPUTED_VALUE"""),3.8415419E7)</f>
        <v>38415419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IFERROR(__xludf.DUMMYFUNCTION("""COMPUTED_VALUE"""),190.9)</f>
        <v>190.9</v>
      </c>
      <c r="C230" s="2">
        <f>IFERROR(__xludf.DUMMYFUNCTION("""COMPUTED_VALUE"""),192.09)</f>
        <v>192.09</v>
      </c>
      <c r="D230" s="2">
        <f>IFERROR(__xludf.DUMMYFUNCTION("""COMPUTED_VALUE"""),188.97)</f>
        <v>188.97</v>
      </c>
      <c r="E230" s="2">
        <f>IFERROR(__xludf.DUMMYFUNCTION("""COMPUTED_VALUE"""),189.37)</f>
        <v>189.37</v>
      </c>
      <c r="F230" s="2">
        <f>IFERROR(__xludf.DUMMYFUNCTION("""COMPUTED_VALUE"""),4.3014224E7)</f>
        <v>43014224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IFERROR(__xludf.DUMMYFUNCTION("""COMPUTED_VALUE"""),189.84)</f>
        <v>189.84</v>
      </c>
      <c r="C231" s="2">
        <f>IFERROR(__xludf.DUMMYFUNCTION("""COMPUTED_VALUE"""),190.32)</f>
        <v>190.32</v>
      </c>
      <c r="D231" s="2">
        <f>IFERROR(__xludf.DUMMYFUNCTION("""COMPUTED_VALUE"""),188.19)</f>
        <v>188.19</v>
      </c>
      <c r="E231" s="2">
        <f>IFERROR(__xludf.DUMMYFUNCTION("""COMPUTED_VALUE"""),189.95)</f>
        <v>189.95</v>
      </c>
      <c r="F231" s="2">
        <f>IFERROR(__xludf.DUMMYFUNCTION("""COMPUTED_VALUE"""),4.8794366E7)</f>
        <v>48794366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IFERROR(__xludf.DUMMYFUNCTION("""COMPUTED_VALUE"""),190.33)</f>
        <v>190.33</v>
      </c>
      <c r="C232" s="2">
        <f>IFERROR(__xludf.DUMMYFUNCTION("""COMPUTED_VALUE"""),191.56)</f>
        <v>191.56</v>
      </c>
      <c r="D232" s="2">
        <f>IFERROR(__xludf.DUMMYFUNCTION("""COMPUTED_VALUE"""),189.23)</f>
        <v>189.23</v>
      </c>
      <c r="E232" s="2">
        <f>IFERROR(__xludf.DUMMYFUNCTION("""COMPUTED_VALUE"""),191.24)</f>
        <v>191.24</v>
      </c>
      <c r="F232" s="2">
        <f>IFERROR(__xludf.DUMMYFUNCTION("""COMPUTED_VALUE"""),4.5704823E7)</f>
        <v>45704823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IFERROR(__xludf.DUMMYFUNCTION("""COMPUTED_VALUE"""),189.98)</f>
        <v>189.98</v>
      </c>
      <c r="C233" s="2">
        <f>IFERROR(__xludf.DUMMYFUNCTION("""COMPUTED_VALUE"""),190.05)</f>
        <v>190.05</v>
      </c>
      <c r="D233" s="2">
        <f>IFERROR(__xludf.DUMMYFUNCTION("""COMPUTED_VALUE"""),187.45)</f>
        <v>187.45</v>
      </c>
      <c r="E233" s="2">
        <f>IFERROR(__xludf.DUMMYFUNCTION("""COMPUTED_VALUE"""),189.43)</f>
        <v>189.43</v>
      </c>
      <c r="F233" s="2">
        <f>IFERROR(__xludf.DUMMYFUNCTION("""COMPUTED_VALUE"""),4.3389519E7)</f>
        <v>43389519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IFERROR(__xludf.DUMMYFUNCTION("""COMPUTED_VALUE"""),190.21)</f>
        <v>190.21</v>
      </c>
      <c r="C234" s="2">
        <f>IFERROR(__xludf.DUMMYFUNCTION("""COMPUTED_VALUE"""),194.4)</f>
        <v>194.4</v>
      </c>
      <c r="D234" s="2">
        <f>IFERROR(__xludf.DUMMYFUNCTION("""COMPUTED_VALUE"""),190.18)</f>
        <v>190.18</v>
      </c>
      <c r="E234" s="2">
        <f>IFERROR(__xludf.DUMMYFUNCTION("""COMPUTED_VALUE"""),193.42)</f>
        <v>193.42</v>
      </c>
      <c r="F234" s="2">
        <f>IFERROR(__xludf.DUMMYFUNCTION("""COMPUTED_VALUE"""),6.6628398E7)</f>
        <v>66628398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IFERROR(__xludf.DUMMYFUNCTION("""COMPUTED_VALUE"""),194.45)</f>
        <v>194.45</v>
      </c>
      <c r="C235" s="2">
        <f>IFERROR(__xludf.DUMMYFUNCTION("""COMPUTED_VALUE"""),194.76)</f>
        <v>194.76</v>
      </c>
      <c r="D235" s="2">
        <f>IFERROR(__xludf.DUMMYFUNCTION("""COMPUTED_VALUE"""),192.11)</f>
        <v>192.11</v>
      </c>
      <c r="E235" s="2">
        <f>IFERROR(__xludf.DUMMYFUNCTION("""COMPUTED_VALUE"""),192.32)</f>
        <v>192.32</v>
      </c>
      <c r="F235" s="2">
        <f>IFERROR(__xludf.DUMMYFUNCTION("""COMPUTED_VALUE"""),4.1089737E7)</f>
        <v>41089737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IFERROR(__xludf.DUMMYFUNCTION("""COMPUTED_VALUE"""),193.63)</f>
        <v>193.63</v>
      </c>
      <c r="C236" s="2">
        <f>IFERROR(__xludf.DUMMYFUNCTION("""COMPUTED_VALUE"""),195.0)</f>
        <v>195</v>
      </c>
      <c r="D236" s="2">
        <f>IFERROR(__xludf.DUMMYFUNCTION("""COMPUTED_VALUE"""),193.59)</f>
        <v>193.59</v>
      </c>
      <c r="E236" s="2">
        <f>IFERROR(__xludf.DUMMYFUNCTION("""COMPUTED_VALUE"""),194.27)</f>
        <v>194.27</v>
      </c>
      <c r="F236" s="2">
        <f>IFERROR(__xludf.DUMMYFUNCTION("""COMPUTED_VALUE"""),4.7477655E7)</f>
        <v>47477655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IFERROR(__xludf.DUMMYFUNCTION("""COMPUTED_VALUE"""),194.2)</f>
        <v>194.2</v>
      </c>
      <c r="C237" s="2">
        <f>IFERROR(__xludf.DUMMYFUNCTION("""COMPUTED_VALUE"""),195.99)</f>
        <v>195.99</v>
      </c>
      <c r="D237" s="2">
        <f>IFERROR(__xludf.DUMMYFUNCTION("""COMPUTED_VALUE"""),193.67)</f>
        <v>193.67</v>
      </c>
      <c r="E237" s="2">
        <f>IFERROR(__xludf.DUMMYFUNCTION("""COMPUTED_VALUE"""),195.71)</f>
        <v>195.71</v>
      </c>
      <c r="F237" s="2">
        <f>IFERROR(__xludf.DUMMYFUNCTION("""COMPUTED_VALUE"""),5.3406358E7)</f>
        <v>53406358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IFERROR(__xludf.DUMMYFUNCTION("""COMPUTED_VALUE"""),193.11)</f>
        <v>193.11</v>
      </c>
      <c r="C238" s="2">
        <f>IFERROR(__xludf.DUMMYFUNCTION("""COMPUTED_VALUE"""),193.49)</f>
        <v>193.49</v>
      </c>
      <c r="D238" s="2">
        <f>IFERROR(__xludf.DUMMYFUNCTION("""COMPUTED_VALUE"""),191.42)</f>
        <v>191.42</v>
      </c>
      <c r="E238" s="2">
        <f>IFERROR(__xludf.DUMMYFUNCTION("""COMPUTED_VALUE"""),193.18)</f>
        <v>193.18</v>
      </c>
      <c r="F238" s="2">
        <f>IFERROR(__xludf.DUMMYFUNCTION("""COMPUTED_VALUE"""),6.0943699E7)</f>
        <v>60943699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IFERROR(__xludf.DUMMYFUNCTION("""COMPUTED_VALUE"""),193.08)</f>
        <v>193.08</v>
      </c>
      <c r="C239" s="2">
        <f>IFERROR(__xludf.DUMMYFUNCTION("""COMPUTED_VALUE"""),194.72)</f>
        <v>194.72</v>
      </c>
      <c r="D239" s="2">
        <f>IFERROR(__xludf.DUMMYFUNCTION("""COMPUTED_VALUE"""),191.72)</f>
        <v>191.72</v>
      </c>
      <c r="E239" s="2">
        <f>IFERROR(__xludf.DUMMYFUNCTION("""COMPUTED_VALUE"""),194.71)</f>
        <v>194.71</v>
      </c>
      <c r="F239" s="2">
        <f>IFERROR(__xludf.DUMMYFUNCTION("""COMPUTED_VALUE"""),5.26969E7)</f>
        <v>52696900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IFERROR(__xludf.DUMMYFUNCTION("""COMPUTED_VALUE"""),195.09)</f>
        <v>195.09</v>
      </c>
      <c r="C240" s="2">
        <f>IFERROR(__xludf.DUMMYFUNCTION("""COMPUTED_VALUE"""),198.0)</f>
        <v>198</v>
      </c>
      <c r="D240" s="2">
        <f>IFERROR(__xludf.DUMMYFUNCTION("""COMPUTED_VALUE"""),194.85)</f>
        <v>194.85</v>
      </c>
      <c r="E240" s="2">
        <f>IFERROR(__xludf.DUMMYFUNCTION("""COMPUTED_VALUE"""),197.96)</f>
        <v>197.96</v>
      </c>
      <c r="F240" s="2">
        <f>IFERROR(__xludf.DUMMYFUNCTION("""COMPUTED_VALUE"""),7.0404183E7)</f>
        <v>70404183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IFERROR(__xludf.DUMMYFUNCTION("""COMPUTED_VALUE"""),198.02)</f>
        <v>198.02</v>
      </c>
      <c r="C241" s="2">
        <f>IFERROR(__xludf.DUMMYFUNCTION("""COMPUTED_VALUE"""),199.62)</f>
        <v>199.62</v>
      </c>
      <c r="D241" s="2">
        <f>IFERROR(__xludf.DUMMYFUNCTION("""COMPUTED_VALUE"""),196.16)</f>
        <v>196.16</v>
      </c>
      <c r="E241" s="2">
        <f>IFERROR(__xludf.DUMMYFUNCTION("""COMPUTED_VALUE"""),198.11)</f>
        <v>198.11</v>
      </c>
      <c r="F241" s="2">
        <f>IFERROR(__xludf.DUMMYFUNCTION("""COMPUTED_VALUE"""),6.6831572E7)</f>
        <v>66831572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IFERROR(__xludf.DUMMYFUNCTION("""COMPUTED_VALUE"""),197.53)</f>
        <v>197.53</v>
      </c>
      <c r="C242" s="2">
        <f>IFERROR(__xludf.DUMMYFUNCTION("""COMPUTED_VALUE"""),198.4)</f>
        <v>198.4</v>
      </c>
      <c r="D242" s="2">
        <f>IFERROR(__xludf.DUMMYFUNCTION("""COMPUTED_VALUE"""),197.0)</f>
        <v>197</v>
      </c>
      <c r="E242" s="2">
        <f>IFERROR(__xludf.DUMMYFUNCTION("""COMPUTED_VALUE"""),197.57)</f>
        <v>197.57</v>
      </c>
      <c r="F242" s="2">
        <f>IFERROR(__xludf.DUMMYFUNCTION("""COMPUTED_VALUE"""),1.28538401E8)</f>
        <v>128538401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IFERROR(__xludf.DUMMYFUNCTION("""COMPUTED_VALUE"""),196.09)</f>
        <v>196.09</v>
      </c>
      <c r="C243" s="2">
        <f>IFERROR(__xludf.DUMMYFUNCTION("""COMPUTED_VALUE"""),196.63)</f>
        <v>196.63</v>
      </c>
      <c r="D243" s="2">
        <f>IFERROR(__xludf.DUMMYFUNCTION("""COMPUTED_VALUE"""),194.39)</f>
        <v>194.39</v>
      </c>
      <c r="E243" s="2">
        <f>IFERROR(__xludf.DUMMYFUNCTION("""COMPUTED_VALUE"""),195.89)</f>
        <v>195.89</v>
      </c>
      <c r="F243" s="2">
        <f>IFERROR(__xludf.DUMMYFUNCTION("""COMPUTED_VALUE"""),5.5751861E7)</f>
        <v>55751861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IFERROR(__xludf.DUMMYFUNCTION("""COMPUTED_VALUE"""),196.16)</f>
        <v>196.16</v>
      </c>
      <c r="C244" s="2">
        <f>IFERROR(__xludf.DUMMYFUNCTION("""COMPUTED_VALUE"""),196.95)</f>
        <v>196.95</v>
      </c>
      <c r="D244" s="2">
        <f>IFERROR(__xludf.DUMMYFUNCTION("""COMPUTED_VALUE"""),195.89)</f>
        <v>195.89</v>
      </c>
      <c r="E244" s="2">
        <f>IFERROR(__xludf.DUMMYFUNCTION("""COMPUTED_VALUE"""),196.94)</f>
        <v>196.94</v>
      </c>
      <c r="F244" s="2">
        <f>IFERROR(__xludf.DUMMYFUNCTION("""COMPUTED_VALUE"""),4.0714051E7)</f>
        <v>40714051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IFERROR(__xludf.DUMMYFUNCTION("""COMPUTED_VALUE"""),196.9)</f>
        <v>196.9</v>
      </c>
      <c r="C245" s="2">
        <f>IFERROR(__xludf.DUMMYFUNCTION("""COMPUTED_VALUE"""),197.68)</f>
        <v>197.68</v>
      </c>
      <c r="D245" s="2">
        <f>IFERROR(__xludf.DUMMYFUNCTION("""COMPUTED_VALUE"""),194.83)</f>
        <v>194.83</v>
      </c>
      <c r="E245" s="2">
        <f>IFERROR(__xludf.DUMMYFUNCTION("""COMPUTED_VALUE"""),194.83)</f>
        <v>194.83</v>
      </c>
      <c r="F245" s="2">
        <f>IFERROR(__xludf.DUMMYFUNCTION("""COMPUTED_VALUE"""),5.2242815E7)</f>
        <v>52242815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IFERROR(__xludf.DUMMYFUNCTION("""COMPUTED_VALUE"""),196.1)</f>
        <v>196.1</v>
      </c>
      <c r="C246" s="2">
        <f>IFERROR(__xludf.DUMMYFUNCTION("""COMPUTED_VALUE"""),197.08)</f>
        <v>197.08</v>
      </c>
      <c r="D246" s="2">
        <f>IFERROR(__xludf.DUMMYFUNCTION("""COMPUTED_VALUE"""),193.5)</f>
        <v>193.5</v>
      </c>
      <c r="E246" s="2">
        <f>IFERROR(__xludf.DUMMYFUNCTION("""COMPUTED_VALUE"""),194.68)</f>
        <v>194.68</v>
      </c>
      <c r="F246" s="2">
        <f>IFERROR(__xludf.DUMMYFUNCTION("""COMPUTED_VALUE"""),4.6482549E7)</f>
        <v>46482549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IFERROR(__xludf.DUMMYFUNCTION("""COMPUTED_VALUE"""),195.18)</f>
        <v>195.18</v>
      </c>
      <c r="C247" s="2">
        <f>IFERROR(__xludf.DUMMYFUNCTION("""COMPUTED_VALUE"""),195.41)</f>
        <v>195.41</v>
      </c>
      <c r="D247" s="2">
        <f>IFERROR(__xludf.DUMMYFUNCTION("""COMPUTED_VALUE"""),192.97)</f>
        <v>192.97</v>
      </c>
      <c r="E247" s="2">
        <f>IFERROR(__xludf.DUMMYFUNCTION("""COMPUTED_VALUE"""),193.6)</f>
        <v>193.6</v>
      </c>
      <c r="F247" s="2">
        <f>IFERROR(__xludf.DUMMYFUNCTION("""COMPUTED_VALUE"""),3.714957E7)</f>
        <v>37149570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IFERROR(__xludf.DUMMYFUNCTION("""COMPUTED_VALUE"""),193.61)</f>
        <v>193.61</v>
      </c>
      <c r="C248" s="2">
        <f>IFERROR(__xludf.DUMMYFUNCTION("""COMPUTED_VALUE"""),193.89)</f>
        <v>193.89</v>
      </c>
      <c r="D248" s="2">
        <f>IFERROR(__xludf.DUMMYFUNCTION("""COMPUTED_VALUE"""),192.83)</f>
        <v>192.83</v>
      </c>
      <c r="E248" s="2">
        <f>IFERROR(__xludf.DUMMYFUNCTION("""COMPUTED_VALUE"""),193.05)</f>
        <v>193.05</v>
      </c>
      <c r="F248" s="2">
        <f>IFERROR(__xludf.DUMMYFUNCTION("""COMPUTED_VALUE"""),2.891931E7)</f>
        <v>28919310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IFERROR(__xludf.DUMMYFUNCTION("""COMPUTED_VALUE"""),192.49)</f>
        <v>192.49</v>
      </c>
      <c r="C249" s="2">
        <f>IFERROR(__xludf.DUMMYFUNCTION("""COMPUTED_VALUE"""),193.5)</f>
        <v>193.5</v>
      </c>
      <c r="D249" s="2">
        <f>IFERROR(__xludf.DUMMYFUNCTION("""COMPUTED_VALUE"""),191.09)</f>
        <v>191.09</v>
      </c>
      <c r="E249" s="2">
        <f>IFERROR(__xludf.DUMMYFUNCTION("""COMPUTED_VALUE"""),193.15)</f>
        <v>193.15</v>
      </c>
      <c r="F249" s="2">
        <f>IFERROR(__xludf.DUMMYFUNCTION("""COMPUTED_VALUE"""),4.8087681E7)</f>
        <v>48087681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IFERROR(__xludf.DUMMYFUNCTION("""COMPUTED_VALUE"""),194.14)</f>
        <v>194.14</v>
      </c>
      <c r="C250" s="2">
        <f>IFERROR(__xludf.DUMMYFUNCTION("""COMPUTED_VALUE"""),194.66)</f>
        <v>194.66</v>
      </c>
      <c r="D250" s="2">
        <f>IFERROR(__xludf.DUMMYFUNCTION("""COMPUTED_VALUE"""),193.17)</f>
        <v>193.17</v>
      </c>
      <c r="E250" s="2">
        <f>IFERROR(__xludf.DUMMYFUNCTION("""COMPUTED_VALUE"""),193.58)</f>
        <v>193.58</v>
      </c>
      <c r="F250" s="2">
        <f>IFERROR(__xludf.DUMMYFUNCTION("""COMPUTED_VALUE"""),3.4049898E7)</f>
        <v>34049898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IFERROR(__xludf.DUMMYFUNCTION("""COMPUTED_VALUE"""),193.9)</f>
        <v>193.9</v>
      </c>
      <c r="C251" s="2">
        <f>IFERROR(__xludf.DUMMYFUNCTION("""COMPUTED_VALUE"""),194.4)</f>
        <v>194.4</v>
      </c>
      <c r="D251" s="2">
        <f>IFERROR(__xludf.DUMMYFUNCTION("""COMPUTED_VALUE"""),191.73)</f>
        <v>191.73</v>
      </c>
      <c r="E251" s="2">
        <f>IFERROR(__xludf.DUMMYFUNCTION("""COMPUTED_VALUE"""),192.53)</f>
        <v>192.53</v>
      </c>
      <c r="F251" s="2">
        <f>IFERROR(__xludf.DUMMYFUNCTION("""COMPUTED_VALUE"""),4.2672148E7)</f>
        <v>42672148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IFERROR(__xludf.DUMMYFUNCTION("""COMPUTED_VALUE"""),187.15)</f>
        <v>187.15</v>
      </c>
      <c r="C252" s="2">
        <f>IFERROR(__xludf.DUMMYFUNCTION("""COMPUTED_VALUE"""),188.44)</f>
        <v>188.44</v>
      </c>
      <c r="D252" s="2">
        <f>IFERROR(__xludf.DUMMYFUNCTION("""COMPUTED_VALUE"""),183.89)</f>
        <v>183.89</v>
      </c>
      <c r="E252" s="2">
        <f>IFERROR(__xludf.DUMMYFUNCTION("""COMPUTED_VALUE"""),185.64)</f>
        <v>185.64</v>
      </c>
      <c r="F252" s="2">
        <f>IFERROR(__xludf.DUMMYFUNCTION("""COMPUTED_VALUE"""),8.2488674E7)</f>
        <v>82488674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IFERROR(__xludf.DUMMYFUNCTION("""COMPUTED_VALUE"""),184.22)</f>
        <v>184.22</v>
      </c>
      <c r="C253" s="2">
        <f>IFERROR(__xludf.DUMMYFUNCTION("""COMPUTED_VALUE"""),185.88)</f>
        <v>185.88</v>
      </c>
      <c r="D253" s="2">
        <f>IFERROR(__xludf.DUMMYFUNCTION("""COMPUTED_VALUE"""),183.43)</f>
        <v>183.43</v>
      </c>
      <c r="E253" s="2">
        <f>IFERROR(__xludf.DUMMYFUNCTION("""COMPUTED_VALUE"""),184.25)</f>
        <v>184.25</v>
      </c>
      <c r="F253" s="2">
        <f>IFERROR(__xludf.DUMMYFUNCTION("""COMPUTED_VALUE"""),5.841446E7)</f>
        <v>58414460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IFERROR(__xludf.DUMMYFUNCTION("""COMPUTED_VALUE"""),182.15)</f>
        <v>182.15</v>
      </c>
      <c r="C254" s="2">
        <f>IFERROR(__xludf.DUMMYFUNCTION("""COMPUTED_VALUE"""),183.09)</f>
        <v>183.09</v>
      </c>
      <c r="D254" s="2">
        <f>IFERROR(__xludf.DUMMYFUNCTION("""COMPUTED_VALUE"""),180.88)</f>
        <v>180.88</v>
      </c>
      <c r="E254" s="2">
        <f>IFERROR(__xludf.DUMMYFUNCTION("""COMPUTED_VALUE"""),181.91)</f>
        <v>181.91</v>
      </c>
      <c r="F254" s="2">
        <f>IFERROR(__xludf.DUMMYFUNCTION("""COMPUTED_VALUE"""),7.198357E7)</f>
        <v>71983570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IFERROR(__xludf.DUMMYFUNCTION("""COMPUTED_VALUE"""),181.99)</f>
        <v>181.99</v>
      </c>
      <c r="C255" s="2">
        <f>IFERROR(__xludf.DUMMYFUNCTION("""COMPUTED_VALUE"""),182.76)</f>
        <v>182.76</v>
      </c>
      <c r="D255" s="2">
        <f>IFERROR(__xludf.DUMMYFUNCTION("""COMPUTED_VALUE"""),180.17)</f>
        <v>180.17</v>
      </c>
      <c r="E255" s="2">
        <f>IFERROR(__xludf.DUMMYFUNCTION("""COMPUTED_VALUE"""),181.18)</f>
        <v>181.18</v>
      </c>
      <c r="F255" s="2">
        <f>IFERROR(__xludf.DUMMYFUNCTION("""COMPUTED_VALUE"""),6.2379661E7)</f>
        <v>62379661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IFERROR(__xludf.DUMMYFUNCTION("""COMPUTED_VALUE"""),182.09)</f>
        <v>182.09</v>
      </c>
      <c r="C256" s="2">
        <f>IFERROR(__xludf.DUMMYFUNCTION("""COMPUTED_VALUE"""),185.6)</f>
        <v>185.6</v>
      </c>
      <c r="D256" s="2">
        <f>IFERROR(__xludf.DUMMYFUNCTION("""COMPUTED_VALUE"""),181.5)</f>
        <v>181.5</v>
      </c>
      <c r="E256" s="2">
        <f>IFERROR(__xludf.DUMMYFUNCTION("""COMPUTED_VALUE"""),185.56)</f>
        <v>185.56</v>
      </c>
      <c r="F256" s="2">
        <f>IFERROR(__xludf.DUMMYFUNCTION("""COMPUTED_VALUE"""),5.914447E7)</f>
        <v>59144470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IFERROR(__xludf.DUMMYFUNCTION("""COMPUTED_VALUE"""),183.92)</f>
        <v>183.92</v>
      </c>
      <c r="C257" s="2">
        <f>IFERROR(__xludf.DUMMYFUNCTION("""COMPUTED_VALUE"""),185.15)</f>
        <v>185.15</v>
      </c>
      <c r="D257" s="2">
        <f>IFERROR(__xludf.DUMMYFUNCTION("""COMPUTED_VALUE"""),182.73)</f>
        <v>182.73</v>
      </c>
      <c r="E257" s="2">
        <f>IFERROR(__xludf.DUMMYFUNCTION("""COMPUTED_VALUE"""),185.14)</f>
        <v>185.14</v>
      </c>
      <c r="F257" s="2">
        <f>IFERROR(__xludf.DUMMYFUNCTION("""COMPUTED_VALUE"""),4.2841809E7)</f>
        <v>42841809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IFERROR(__xludf.DUMMYFUNCTION("""COMPUTED_VALUE"""),184.35)</f>
        <v>184.35</v>
      </c>
      <c r="C258" s="2">
        <f>IFERROR(__xludf.DUMMYFUNCTION("""COMPUTED_VALUE"""),186.4)</f>
        <v>186.4</v>
      </c>
      <c r="D258" s="2">
        <f>IFERROR(__xludf.DUMMYFUNCTION("""COMPUTED_VALUE"""),183.92)</f>
        <v>183.92</v>
      </c>
      <c r="E258" s="2">
        <f>IFERROR(__xludf.DUMMYFUNCTION("""COMPUTED_VALUE"""),186.19)</f>
        <v>186.19</v>
      </c>
      <c r="F258" s="2">
        <f>IFERROR(__xludf.DUMMYFUNCTION("""COMPUTED_VALUE"""),4.6792908E7)</f>
        <v>46792908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IFERROR(__xludf.DUMMYFUNCTION("""COMPUTED_VALUE"""),186.54)</f>
        <v>186.54</v>
      </c>
      <c r="C259" s="2">
        <f>IFERROR(__xludf.DUMMYFUNCTION("""COMPUTED_VALUE"""),187.05)</f>
        <v>187.05</v>
      </c>
      <c r="D259" s="2">
        <f>IFERROR(__xludf.DUMMYFUNCTION("""COMPUTED_VALUE"""),183.62)</f>
        <v>183.62</v>
      </c>
      <c r="E259" s="2">
        <f>IFERROR(__xludf.DUMMYFUNCTION("""COMPUTED_VALUE"""),185.59)</f>
        <v>185.59</v>
      </c>
      <c r="F259" s="2">
        <f>IFERROR(__xludf.DUMMYFUNCTION("""COMPUTED_VALUE"""),4.9128408E7)</f>
        <v>49128408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IFERROR(__xludf.DUMMYFUNCTION("""COMPUTED_VALUE"""),186.06)</f>
        <v>186.06</v>
      </c>
      <c r="C260" s="2">
        <f>IFERROR(__xludf.DUMMYFUNCTION("""COMPUTED_VALUE"""),186.74)</f>
        <v>186.74</v>
      </c>
      <c r="D260" s="2">
        <f>IFERROR(__xludf.DUMMYFUNCTION("""COMPUTED_VALUE"""),185.19)</f>
        <v>185.19</v>
      </c>
      <c r="E260" s="2">
        <f>IFERROR(__xludf.DUMMYFUNCTION("""COMPUTED_VALUE"""),185.92)</f>
        <v>185.92</v>
      </c>
      <c r="F260" s="2">
        <f>IFERROR(__xludf.DUMMYFUNCTION("""COMPUTED_VALUE"""),4.0477782E7)</f>
        <v>40477782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IFERROR(__xludf.DUMMYFUNCTION("""COMPUTED_VALUE"""),182.16)</f>
        <v>182.16</v>
      </c>
      <c r="C261" s="2">
        <f>IFERROR(__xludf.DUMMYFUNCTION("""COMPUTED_VALUE"""),184.26)</f>
        <v>184.26</v>
      </c>
      <c r="D261" s="2">
        <f>IFERROR(__xludf.DUMMYFUNCTION("""COMPUTED_VALUE"""),180.93)</f>
        <v>180.93</v>
      </c>
      <c r="E261" s="2">
        <f>IFERROR(__xludf.DUMMYFUNCTION("""COMPUTED_VALUE"""),183.63)</f>
        <v>183.63</v>
      </c>
      <c r="F261" s="2">
        <f>IFERROR(__xludf.DUMMYFUNCTION("""COMPUTED_VALUE"""),6.5603041E7)</f>
        <v>65603041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IFERROR(__xludf.DUMMYFUNCTION("""COMPUTED_VALUE"""),181.27)</f>
        <v>181.27</v>
      </c>
      <c r="C262" s="2">
        <f>IFERROR(__xludf.DUMMYFUNCTION("""COMPUTED_VALUE"""),182.93)</f>
        <v>182.93</v>
      </c>
      <c r="D262" s="2">
        <f>IFERROR(__xludf.DUMMYFUNCTION("""COMPUTED_VALUE"""),180.3)</f>
        <v>180.3</v>
      </c>
      <c r="E262" s="2">
        <f>IFERROR(__xludf.DUMMYFUNCTION("""COMPUTED_VALUE"""),182.68)</f>
        <v>182.68</v>
      </c>
      <c r="F262" s="2">
        <f>IFERROR(__xludf.DUMMYFUNCTION("""COMPUTED_VALUE"""),4.7317433E7)</f>
        <v>47317433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IFERROR(__xludf.DUMMYFUNCTION("""COMPUTED_VALUE"""),186.09)</f>
        <v>186.09</v>
      </c>
      <c r="C263" s="2">
        <f>IFERROR(__xludf.DUMMYFUNCTION("""COMPUTED_VALUE"""),189.14)</f>
        <v>189.14</v>
      </c>
      <c r="D263" s="2">
        <f>IFERROR(__xludf.DUMMYFUNCTION("""COMPUTED_VALUE"""),185.83)</f>
        <v>185.83</v>
      </c>
      <c r="E263" s="2">
        <f>IFERROR(__xludf.DUMMYFUNCTION("""COMPUTED_VALUE"""),188.63)</f>
        <v>188.63</v>
      </c>
      <c r="F263" s="2">
        <f>IFERROR(__xludf.DUMMYFUNCTION("""COMPUTED_VALUE"""),7.8005754E7)</f>
        <v>78005754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IFERROR(__xludf.DUMMYFUNCTION("""COMPUTED_VALUE"""),189.33)</f>
        <v>189.33</v>
      </c>
      <c r="C264" s="2">
        <f>IFERROR(__xludf.DUMMYFUNCTION("""COMPUTED_VALUE"""),191.95)</f>
        <v>191.95</v>
      </c>
      <c r="D264" s="2">
        <f>IFERROR(__xludf.DUMMYFUNCTION("""COMPUTED_VALUE"""),188.82)</f>
        <v>188.82</v>
      </c>
      <c r="E264" s="2">
        <f>IFERROR(__xludf.DUMMYFUNCTION("""COMPUTED_VALUE"""),191.56)</f>
        <v>191.56</v>
      </c>
      <c r="F264" s="2">
        <f>IFERROR(__xludf.DUMMYFUNCTION("""COMPUTED_VALUE"""),6.8902985E7)</f>
        <v>68902985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IFERROR(__xludf.DUMMYFUNCTION("""COMPUTED_VALUE"""),192.3)</f>
        <v>192.3</v>
      </c>
      <c r="C265" s="2">
        <f>IFERROR(__xludf.DUMMYFUNCTION("""COMPUTED_VALUE"""),195.33)</f>
        <v>195.33</v>
      </c>
      <c r="D265" s="2">
        <f>IFERROR(__xludf.DUMMYFUNCTION("""COMPUTED_VALUE"""),192.26)</f>
        <v>192.26</v>
      </c>
      <c r="E265" s="2">
        <f>IFERROR(__xludf.DUMMYFUNCTION("""COMPUTED_VALUE"""),193.89)</f>
        <v>193.89</v>
      </c>
      <c r="F265" s="2">
        <f>IFERROR(__xludf.DUMMYFUNCTION("""COMPUTED_VALUE"""),6.0133852E7)</f>
        <v>60133852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IFERROR(__xludf.DUMMYFUNCTION("""COMPUTED_VALUE"""),195.02)</f>
        <v>195.02</v>
      </c>
      <c r="C266" s="2">
        <f>IFERROR(__xludf.DUMMYFUNCTION("""COMPUTED_VALUE"""),195.75)</f>
        <v>195.75</v>
      </c>
      <c r="D266" s="2">
        <f>IFERROR(__xludf.DUMMYFUNCTION("""COMPUTED_VALUE"""),193.83)</f>
        <v>193.83</v>
      </c>
      <c r="E266" s="2">
        <f>IFERROR(__xludf.DUMMYFUNCTION("""COMPUTED_VALUE"""),195.18)</f>
        <v>195.18</v>
      </c>
      <c r="F266" s="2">
        <f>IFERROR(__xludf.DUMMYFUNCTION("""COMPUTED_VALUE"""),4.235559E7)</f>
        <v>42355590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IFERROR(__xludf.DUMMYFUNCTION("""COMPUTED_VALUE"""),195.42)</f>
        <v>195.42</v>
      </c>
      <c r="C267" s="2">
        <f>IFERROR(__xludf.DUMMYFUNCTION("""COMPUTED_VALUE"""),196.38)</f>
        <v>196.38</v>
      </c>
      <c r="D267" s="2">
        <f>IFERROR(__xludf.DUMMYFUNCTION("""COMPUTED_VALUE"""),194.34)</f>
        <v>194.34</v>
      </c>
      <c r="E267" s="2">
        <f>IFERROR(__xludf.DUMMYFUNCTION("""COMPUTED_VALUE"""),194.5)</f>
        <v>194.5</v>
      </c>
      <c r="F267" s="2">
        <f>IFERROR(__xludf.DUMMYFUNCTION("""COMPUTED_VALUE"""),5.3631316E7)</f>
        <v>53631316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IFERROR(__xludf.DUMMYFUNCTION("""COMPUTED_VALUE"""),195.22)</f>
        <v>195.22</v>
      </c>
      <c r="C268" s="2">
        <f>IFERROR(__xludf.DUMMYFUNCTION("""COMPUTED_VALUE"""),196.27)</f>
        <v>196.27</v>
      </c>
      <c r="D268" s="2">
        <f>IFERROR(__xludf.DUMMYFUNCTION("""COMPUTED_VALUE"""),193.11)</f>
        <v>193.11</v>
      </c>
      <c r="E268" s="2">
        <f>IFERROR(__xludf.DUMMYFUNCTION("""COMPUTED_VALUE"""),194.17)</f>
        <v>194.17</v>
      </c>
      <c r="F268" s="2">
        <f>IFERROR(__xludf.DUMMYFUNCTION("""COMPUTED_VALUE"""),5.4822126E7)</f>
        <v>54822126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IFERROR(__xludf.DUMMYFUNCTION("""COMPUTED_VALUE"""),194.27)</f>
        <v>194.27</v>
      </c>
      <c r="C269" s="2">
        <f>IFERROR(__xludf.DUMMYFUNCTION("""COMPUTED_VALUE"""),194.76)</f>
        <v>194.76</v>
      </c>
      <c r="D269" s="2">
        <f>IFERROR(__xludf.DUMMYFUNCTION("""COMPUTED_VALUE"""),191.94)</f>
        <v>191.94</v>
      </c>
      <c r="E269" s="2">
        <f>IFERROR(__xludf.DUMMYFUNCTION("""COMPUTED_VALUE"""),192.42)</f>
        <v>192.42</v>
      </c>
      <c r="F269" s="2">
        <f>IFERROR(__xludf.DUMMYFUNCTION("""COMPUTED_VALUE"""),4.4594011E7)</f>
        <v>44594011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IFERROR(__xludf.DUMMYFUNCTION("""COMPUTED_VALUE"""),192.01)</f>
        <v>192.01</v>
      </c>
      <c r="C270" s="2">
        <f>IFERROR(__xludf.DUMMYFUNCTION("""COMPUTED_VALUE"""),192.2)</f>
        <v>192.2</v>
      </c>
      <c r="D270" s="2">
        <f>IFERROR(__xludf.DUMMYFUNCTION("""COMPUTED_VALUE"""),189.58)</f>
        <v>189.58</v>
      </c>
      <c r="E270" s="2">
        <f>IFERROR(__xludf.DUMMYFUNCTION("""COMPUTED_VALUE"""),191.73)</f>
        <v>191.73</v>
      </c>
      <c r="F270" s="2">
        <f>IFERROR(__xludf.DUMMYFUNCTION("""COMPUTED_VALUE"""),4.7145622E7)</f>
        <v>47145622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IFERROR(__xludf.DUMMYFUNCTION("""COMPUTED_VALUE"""),190.94)</f>
        <v>190.94</v>
      </c>
      <c r="C271" s="2">
        <f>IFERROR(__xludf.DUMMYFUNCTION("""COMPUTED_VALUE"""),191.8)</f>
        <v>191.8</v>
      </c>
      <c r="D271" s="2">
        <f>IFERROR(__xludf.DUMMYFUNCTION("""COMPUTED_VALUE"""),187.47)</f>
        <v>187.47</v>
      </c>
      <c r="E271" s="2">
        <f>IFERROR(__xludf.DUMMYFUNCTION("""COMPUTED_VALUE"""),188.04)</f>
        <v>188.04</v>
      </c>
      <c r="F271" s="2">
        <f>IFERROR(__xludf.DUMMYFUNCTION("""COMPUTED_VALUE"""),5.585937E7)</f>
        <v>55859370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IFERROR(__xludf.DUMMYFUNCTION("""COMPUTED_VALUE"""),187.04)</f>
        <v>187.04</v>
      </c>
      <c r="C272" s="2">
        <f>IFERROR(__xludf.DUMMYFUNCTION("""COMPUTED_VALUE"""),187.1)</f>
        <v>187.1</v>
      </c>
      <c r="D272" s="2">
        <f>IFERROR(__xludf.DUMMYFUNCTION("""COMPUTED_VALUE"""),184.35)</f>
        <v>184.35</v>
      </c>
      <c r="E272" s="2">
        <f>IFERROR(__xludf.DUMMYFUNCTION("""COMPUTED_VALUE"""),184.4)</f>
        <v>184.4</v>
      </c>
      <c r="F272" s="2">
        <f>IFERROR(__xludf.DUMMYFUNCTION("""COMPUTED_VALUE"""),5.5467803E7)</f>
        <v>55467803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IFERROR(__xludf.DUMMYFUNCTION("""COMPUTED_VALUE"""),183.99)</f>
        <v>183.99</v>
      </c>
      <c r="C273" s="2">
        <f>IFERROR(__xludf.DUMMYFUNCTION("""COMPUTED_VALUE"""),186.95)</f>
        <v>186.95</v>
      </c>
      <c r="D273" s="2">
        <f>IFERROR(__xludf.DUMMYFUNCTION("""COMPUTED_VALUE"""),183.82)</f>
        <v>183.82</v>
      </c>
      <c r="E273" s="2">
        <f>IFERROR(__xludf.DUMMYFUNCTION("""COMPUTED_VALUE"""),186.86)</f>
        <v>186.86</v>
      </c>
      <c r="F273" s="2">
        <f>IFERROR(__xludf.DUMMYFUNCTION("""COMPUTED_VALUE"""),6.4885408E7)</f>
        <v>64885408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IFERROR(__xludf.DUMMYFUNCTION("""COMPUTED_VALUE"""),179.86)</f>
        <v>179.86</v>
      </c>
      <c r="C274" s="2">
        <f>IFERROR(__xludf.DUMMYFUNCTION("""COMPUTED_VALUE"""),187.33)</f>
        <v>187.33</v>
      </c>
      <c r="D274" s="2">
        <f>IFERROR(__xludf.DUMMYFUNCTION("""COMPUTED_VALUE"""),179.25)</f>
        <v>179.25</v>
      </c>
      <c r="E274" s="2">
        <f>IFERROR(__xludf.DUMMYFUNCTION("""COMPUTED_VALUE"""),185.85)</f>
        <v>185.85</v>
      </c>
      <c r="F274" s="2">
        <f>IFERROR(__xludf.DUMMYFUNCTION("""COMPUTED_VALUE"""),1.0255168E8)</f>
        <v>102551680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IFERROR(__xludf.DUMMYFUNCTION("""COMPUTED_VALUE"""),188.15)</f>
        <v>188.15</v>
      </c>
      <c r="C275" s="2">
        <f>IFERROR(__xludf.DUMMYFUNCTION("""COMPUTED_VALUE"""),189.25)</f>
        <v>189.25</v>
      </c>
      <c r="D275" s="2">
        <f>IFERROR(__xludf.DUMMYFUNCTION("""COMPUTED_VALUE"""),185.84)</f>
        <v>185.84</v>
      </c>
      <c r="E275" s="2">
        <f>IFERROR(__xludf.DUMMYFUNCTION("""COMPUTED_VALUE"""),187.68)</f>
        <v>187.68</v>
      </c>
      <c r="F275" s="2">
        <f>IFERROR(__xludf.DUMMYFUNCTION("""COMPUTED_VALUE"""),6.966882E7)</f>
        <v>69668820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IFERROR(__xludf.DUMMYFUNCTION("""COMPUTED_VALUE"""),186.86)</f>
        <v>186.86</v>
      </c>
      <c r="C276" s="2">
        <f>IFERROR(__xludf.DUMMYFUNCTION("""COMPUTED_VALUE"""),189.31)</f>
        <v>189.31</v>
      </c>
      <c r="D276" s="2">
        <f>IFERROR(__xludf.DUMMYFUNCTION("""COMPUTED_VALUE"""),186.77)</f>
        <v>186.77</v>
      </c>
      <c r="E276" s="2">
        <f>IFERROR(__xludf.DUMMYFUNCTION("""COMPUTED_VALUE"""),189.3)</f>
        <v>189.3</v>
      </c>
      <c r="F276" s="2">
        <f>IFERROR(__xludf.DUMMYFUNCTION("""COMPUTED_VALUE"""),4.3490759E7)</f>
        <v>43490759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IFERROR(__xludf.DUMMYFUNCTION("""COMPUTED_VALUE"""),190.64)</f>
        <v>190.64</v>
      </c>
      <c r="C277" s="2">
        <f>IFERROR(__xludf.DUMMYFUNCTION("""COMPUTED_VALUE"""),191.05)</f>
        <v>191.05</v>
      </c>
      <c r="D277" s="2">
        <f>IFERROR(__xludf.DUMMYFUNCTION("""COMPUTED_VALUE"""),188.61)</f>
        <v>188.61</v>
      </c>
      <c r="E277" s="2">
        <f>IFERROR(__xludf.DUMMYFUNCTION("""COMPUTED_VALUE"""),189.41)</f>
        <v>189.41</v>
      </c>
      <c r="F277" s="2">
        <f>IFERROR(__xludf.DUMMYFUNCTION("""COMPUTED_VALUE"""),5.3438955E7)</f>
        <v>53438955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IFERROR(__xludf.DUMMYFUNCTION("""COMPUTED_VALUE"""),189.39)</f>
        <v>189.39</v>
      </c>
      <c r="C278" s="2">
        <f>IFERROR(__xludf.DUMMYFUNCTION("""COMPUTED_VALUE"""),189.54)</f>
        <v>189.54</v>
      </c>
      <c r="D278" s="2">
        <f>IFERROR(__xludf.DUMMYFUNCTION("""COMPUTED_VALUE"""),187.35)</f>
        <v>187.35</v>
      </c>
      <c r="E278" s="2">
        <f>IFERROR(__xludf.DUMMYFUNCTION("""COMPUTED_VALUE"""),188.32)</f>
        <v>188.32</v>
      </c>
      <c r="F278" s="2">
        <f>IFERROR(__xludf.DUMMYFUNCTION("""COMPUTED_VALUE"""),4.0962046E7)</f>
        <v>40962046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IFERROR(__xludf.DUMMYFUNCTION("""COMPUTED_VALUE"""),188.65)</f>
        <v>188.65</v>
      </c>
      <c r="C279" s="2">
        <f>IFERROR(__xludf.DUMMYFUNCTION("""COMPUTED_VALUE"""),189.99)</f>
        <v>189.99</v>
      </c>
      <c r="D279" s="2">
        <f>IFERROR(__xludf.DUMMYFUNCTION("""COMPUTED_VALUE"""),188.0)</f>
        <v>188</v>
      </c>
      <c r="E279" s="2">
        <f>IFERROR(__xludf.DUMMYFUNCTION("""COMPUTED_VALUE"""),188.85)</f>
        <v>188.85</v>
      </c>
      <c r="F279" s="2">
        <f>IFERROR(__xludf.DUMMYFUNCTION("""COMPUTED_VALUE"""),4.5155216E7)</f>
        <v>45155216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IFERROR(__xludf.DUMMYFUNCTION("""COMPUTED_VALUE"""),188.42)</f>
        <v>188.42</v>
      </c>
      <c r="C280" s="2">
        <f>IFERROR(__xludf.DUMMYFUNCTION("""COMPUTED_VALUE"""),188.67)</f>
        <v>188.67</v>
      </c>
      <c r="D280" s="2">
        <f>IFERROR(__xludf.DUMMYFUNCTION("""COMPUTED_VALUE"""),186.79)</f>
        <v>186.79</v>
      </c>
      <c r="E280" s="2">
        <f>IFERROR(__xludf.DUMMYFUNCTION("""COMPUTED_VALUE"""),187.15)</f>
        <v>187.15</v>
      </c>
      <c r="F280" s="2">
        <f>IFERROR(__xludf.DUMMYFUNCTION("""COMPUTED_VALUE"""),4.1781934E7)</f>
        <v>41781934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IFERROR(__xludf.DUMMYFUNCTION("""COMPUTED_VALUE"""),185.77)</f>
        <v>185.77</v>
      </c>
      <c r="C281" s="2">
        <f>IFERROR(__xludf.DUMMYFUNCTION("""COMPUTED_VALUE"""),186.21)</f>
        <v>186.21</v>
      </c>
      <c r="D281" s="2">
        <f>IFERROR(__xludf.DUMMYFUNCTION("""COMPUTED_VALUE"""),183.51)</f>
        <v>183.51</v>
      </c>
      <c r="E281" s="2">
        <f>IFERROR(__xludf.DUMMYFUNCTION("""COMPUTED_VALUE"""),185.04)</f>
        <v>185.04</v>
      </c>
      <c r="F281" s="2">
        <f>IFERROR(__xludf.DUMMYFUNCTION("""COMPUTED_VALUE"""),5.6529529E7)</f>
        <v>56529529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IFERROR(__xludf.DUMMYFUNCTION("""COMPUTED_VALUE"""),185.32)</f>
        <v>185.32</v>
      </c>
      <c r="C282" s="2">
        <f>IFERROR(__xludf.DUMMYFUNCTION("""COMPUTED_VALUE"""),185.53)</f>
        <v>185.53</v>
      </c>
      <c r="D282" s="2">
        <f>IFERROR(__xludf.DUMMYFUNCTION("""COMPUTED_VALUE"""),182.44)</f>
        <v>182.44</v>
      </c>
      <c r="E282" s="2">
        <f>IFERROR(__xludf.DUMMYFUNCTION("""COMPUTED_VALUE"""),184.15)</f>
        <v>184.15</v>
      </c>
      <c r="F282" s="2">
        <f>IFERROR(__xludf.DUMMYFUNCTION("""COMPUTED_VALUE"""),5.4630517E7)</f>
        <v>54630517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IFERROR(__xludf.DUMMYFUNCTION("""COMPUTED_VALUE"""),183.55)</f>
        <v>183.55</v>
      </c>
      <c r="C283" s="2">
        <f>IFERROR(__xludf.DUMMYFUNCTION("""COMPUTED_VALUE"""),184.49)</f>
        <v>184.49</v>
      </c>
      <c r="D283" s="2">
        <f>IFERROR(__xludf.DUMMYFUNCTION("""COMPUTED_VALUE"""),181.35)</f>
        <v>181.35</v>
      </c>
      <c r="E283" s="2">
        <f>IFERROR(__xludf.DUMMYFUNCTION("""COMPUTED_VALUE"""),183.86)</f>
        <v>183.86</v>
      </c>
      <c r="F283" s="2">
        <f>IFERROR(__xludf.DUMMYFUNCTION("""COMPUTED_VALUE"""),6.5434496E7)</f>
        <v>65434496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IFERROR(__xludf.DUMMYFUNCTION("""COMPUTED_VALUE"""),183.42)</f>
        <v>183.42</v>
      </c>
      <c r="C284" s="2">
        <f>IFERROR(__xludf.DUMMYFUNCTION("""COMPUTED_VALUE"""),184.85)</f>
        <v>184.85</v>
      </c>
      <c r="D284" s="2">
        <f>IFERROR(__xludf.DUMMYFUNCTION("""COMPUTED_VALUE"""),181.67)</f>
        <v>181.67</v>
      </c>
      <c r="E284" s="2">
        <f>IFERROR(__xludf.DUMMYFUNCTION("""COMPUTED_VALUE"""),182.31)</f>
        <v>182.31</v>
      </c>
      <c r="F284" s="2">
        <f>IFERROR(__xludf.DUMMYFUNCTION("""COMPUTED_VALUE"""),4.9752465E7)</f>
        <v>49752465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IFERROR(__xludf.DUMMYFUNCTION("""COMPUTED_VALUE"""),181.79)</f>
        <v>181.79</v>
      </c>
      <c r="C285" s="2">
        <f>IFERROR(__xludf.DUMMYFUNCTION("""COMPUTED_VALUE"""),182.43)</f>
        <v>182.43</v>
      </c>
      <c r="D285" s="2">
        <f>IFERROR(__xludf.DUMMYFUNCTION("""COMPUTED_VALUE"""),180.0)</f>
        <v>180</v>
      </c>
      <c r="E285" s="2">
        <f>IFERROR(__xludf.DUMMYFUNCTION("""COMPUTED_VALUE"""),181.56)</f>
        <v>181.56</v>
      </c>
      <c r="F285" s="2">
        <f>IFERROR(__xludf.DUMMYFUNCTION("""COMPUTED_VALUE"""),5.3665553E7)</f>
        <v>53665553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IFERROR(__xludf.DUMMYFUNCTION("""COMPUTED_VALUE"""),181.94)</f>
        <v>181.94</v>
      </c>
      <c r="C286" s="2">
        <f>IFERROR(__xludf.DUMMYFUNCTION("""COMPUTED_VALUE"""),182.89)</f>
        <v>182.89</v>
      </c>
      <c r="D286" s="2">
        <f>IFERROR(__xludf.DUMMYFUNCTION("""COMPUTED_VALUE"""),180.66)</f>
        <v>180.66</v>
      </c>
      <c r="E286" s="2">
        <f>IFERROR(__xludf.DUMMYFUNCTION("""COMPUTED_VALUE"""),182.32)</f>
        <v>182.32</v>
      </c>
      <c r="F286" s="2">
        <f>IFERROR(__xludf.DUMMYFUNCTION("""COMPUTED_VALUE"""),4.1529674E7)</f>
        <v>41529674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IFERROR(__xludf.DUMMYFUNCTION("""COMPUTED_VALUE"""),183.48)</f>
        <v>183.48</v>
      </c>
      <c r="C287" s="2">
        <f>IFERROR(__xludf.DUMMYFUNCTION("""COMPUTED_VALUE"""),184.96)</f>
        <v>184.96</v>
      </c>
      <c r="D287" s="2">
        <f>IFERROR(__xludf.DUMMYFUNCTION("""COMPUTED_VALUE"""),182.46)</f>
        <v>182.46</v>
      </c>
      <c r="E287" s="2">
        <f>IFERROR(__xludf.DUMMYFUNCTION("""COMPUTED_VALUE"""),184.37)</f>
        <v>184.37</v>
      </c>
      <c r="F287" s="2">
        <f>IFERROR(__xludf.DUMMYFUNCTION("""COMPUTED_VALUE"""),5.2292208E7)</f>
        <v>52292208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IFERROR(__xludf.DUMMYFUNCTION("""COMPUTED_VALUE"""),185.01)</f>
        <v>185.01</v>
      </c>
      <c r="C288" s="2">
        <f>IFERROR(__xludf.DUMMYFUNCTION("""COMPUTED_VALUE"""),185.04)</f>
        <v>185.04</v>
      </c>
      <c r="D288" s="2">
        <f>IFERROR(__xludf.DUMMYFUNCTION("""COMPUTED_VALUE"""),182.23)</f>
        <v>182.23</v>
      </c>
      <c r="E288" s="2">
        <f>IFERROR(__xludf.DUMMYFUNCTION("""COMPUTED_VALUE"""),182.52)</f>
        <v>182.52</v>
      </c>
      <c r="F288" s="2">
        <f>IFERROR(__xludf.DUMMYFUNCTION("""COMPUTED_VALUE"""),4.5119677E7)</f>
        <v>45119677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IFERROR(__xludf.DUMMYFUNCTION("""COMPUTED_VALUE"""),182.24)</f>
        <v>182.24</v>
      </c>
      <c r="C289" s="2">
        <f>IFERROR(__xludf.DUMMYFUNCTION("""COMPUTED_VALUE"""),182.76)</f>
        <v>182.76</v>
      </c>
      <c r="D289" s="2">
        <f>IFERROR(__xludf.DUMMYFUNCTION("""COMPUTED_VALUE"""),180.65)</f>
        <v>180.65</v>
      </c>
      <c r="E289" s="2">
        <f>IFERROR(__xludf.DUMMYFUNCTION("""COMPUTED_VALUE"""),181.16)</f>
        <v>181.16</v>
      </c>
      <c r="F289" s="2">
        <f>IFERROR(__xludf.DUMMYFUNCTION("""COMPUTED_VALUE"""),4.0867421E7)</f>
        <v>40867421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IFERROR(__xludf.DUMMYFUNCTION("""COMPUTED_VALUE"""),181.1)</f>
        <v>181.1</v>
      </c>
      <c r="C290" s="2">
        <f>IFERROR(__xludf.DUMMYFUNCTION("""COMPUTED_VALUE"""),183.92)</f>
        <v>183.92</v>
      </c>
      <c r="D290" s="2">
        <f>IFERROR(__xludf.DUMMYFUNCTION("""COMPUTED_VALUE"""),179.56)</f>
        <v>179.56</v>
      </c>
      <c r="E290" s="2">
        <f>IFERROR(__xludf.DUMMYFUNCTION("""COMPUTED_VALUE"""),182.63)</f>
        <v>182.63</v>
      </c>
      <c r="F290" s="2">
        <f>IFERROR(__xludf.DUMMYFUNCTION("""COMPUTED_VALUE"""),5.4318851E7)</f>
        <v>54318851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IFERROR(__xludf.DUMMYFUNCTION("""COMPUTED_VALUE"""),182.51)</f>
        <v>182.51</v>
      </c>
      <c r="C291" s="2">
        <f>IFERROR(__xludf.DUMMYFUNCTION("""COMPUTED_VALUE"""),183.12)</f>
        <v>183.12</v>
      </c>
      <c r="D291" s="2">
        <f>IFERROR(__xludf.DUMMYFUNCTION("""COMPUTED_VALUE"""),180.13)</f>
        <v>180.13</v>
      </c>
      <c r="E291" s="2">
        <f>IFERROR(__xludf.DUMMYFUNCTION("""COMPUTED_VALUE"""),181.42)</f>
        <v>181.42</v>
      </c>
      <c r="F291" s="2">
        <f>IFERROR(__xludf.DUMMYFUNCTION("""COMPUTED_VALUE"""),4.8953939E7)</f>
        <v>48953939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IFERROR(__xludf.DUMMYFUNCTION("""COMPUTED_VALUE"""),181.27)</f>
        <v>181.27</v>
      </c>
      <c r="C292" s="2">
        <f>IFERROR(__xludf.DUMMYFUNCTION("""COMPUTED_VALUE"""),182.57)</f>
        <v>182.57</v>
      </c>
      <c r="D292" s="2">
        <f>IFERROR(__xludf.DUMMYFUNCTION("""COMPUTED_VALUE"""),179.53)</f>
        <v>179.53</v>
      </c>
      <c r="E292" s="2">
        <f>IFERROR(__xludf.DUMMYFUNCTION("""COMPUTED_VALUE"""),180.75)</f>
        <v>180.75</v>
      </c>
      <c r="F292" s="2">
        <f>IFERROR(__xludf.DUMMYFUNCTION("""COMPUTED_VALUE"""),1.36682597E8)</f>
        <v>136682597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IFERROR(__xludf.DUMMYFUNCTION("""COMPUTED_VALUE"""),179.55)</f>
        <v>179.55</v>
      </c>
      <c r="C293" s="2">
        <f>IFERROR(__xludf.DUMMYFUNCTION("""COMPUTED_VALUE"""),180.53)</f>
        <v>180.53</v>
      </c>
      <c r="D293" s="2">
        <f>IFERROR(__xludf.DUMMYFUNCTION("""COMPUTED_VALUE"""),177.38)</f>
        <v>177.38</v>
      </c>
      <c r="E293" s="2">
        <f>IFERROR(__xludf.DUMMYFUNCTION("""COMPUTED_VALUE"""),179.66)</f>
        <v>179.66</v>
      </c>
      <c r="F293" s="2">
        <f>IFERROR(__xludf.DUMMYFUNCTION("""COMPUTED_VALUE"""),7.3563082E7)</f>
        <v>73563082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IFERROR(__xludf.DUMMYFUNCTION("""COMPUTED_VALUE"""),176.15)</f>
        <v>176.15</v>
      </c>
      <c r="C294" s="2">
        <f>IFERROR(__xludf.DUMMYFUNCTION("""COMPUTED_VALUE"""),176.9)</f>
        <v>176.9</v>
      </c>
      <c r="D294" s="2">
        <f>IFERROR(__xludf.DUMMYFUNCTION("""COMPUTED_VALUE"""),173.79)</f>
        <v>173.79</v>
      </c>
      <c r="E294" s="2">
        <f>IFERROR(__xludf.DUMMYFUNCTION("""COMPUTED_VALUE"""),175.1)</f>
        <v>175.1</v>
      </c>
      <c r="F294" s="2">
        <f>IFERROR(__xludf.DUMMYFUNCTION("""COMPUTED_VALUE"""),8.1510101E7)</f>
        <v>81510101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IFERROR(__xludf.DUMMYFUNCTION("""COMPUTED_VALUE"""),170.76)</f>
        <v>170.76</v>
      </c>
      <c r="C295" s="2">
        <f>IFERROR(__xludf.DUMMYFUNCTION("""COMPUTED_VALUE"""),172.04)</f>
        <v>172.04</v>
      </c>
      <c r="D295" s="2">
        <f>IFERROR(__xludf.DUMMYFUNCTION("""COMPUTED_VALUE"""),169.62)</f>
        <v>169.62</v>
      </c>
      <c r="E295" s="2">
        <f>IFERROR(__xludf.DUMMYFUNCTION("""COMPUTED_VALUE"""),170.12)</f>
        <v>170.12</v>
      </c>
      <c r="F295" s="2">
        <f>IFERROR(__xludf.DUMMYFUNCTION("""COMPUTED_VALUE"""),9.5132355E7)</f>
        <v>95132355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IFERROR(__xludf.DUMMYFUNCTION("""COMPUTED_VALUE"""),171.06)</f>
        <v>171.06</v>
      </c>
      <c r="C296" s="2">
        <f>IFERROR(__xludf.DUMMYFUNCTION("""COMPUTED_VALUE"""),171.24)</f>
        <v>171.24</v>
      </c>
      <c r="D296" s="2">
        <f>IFERROR(__xludf.DUMMYFUNCTION("""COMPUTED_VALUE"""),168.68)</f>
        <v>168.68</v>
      </c>
      <c r="E296" s="2">
        <f>IFERROR(__xludf.DUMMYFUNCTION("""COMPUTED_VALUE"""),169.12)</f>
        <v>169.12</v>
      </c>
      <c r="F296" s="2">
        <f>IFERROR(__xludf.DUMMYFUNCTION("""COMPUTED_VALUE"""),6.8587707E7)</f>
        <v>68587707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IFERROR(__xludf.DUMMYFUNCTION("""COMPUTED_VALUE"""),169.15)</f>
        <v>169.15</v>
      </c>
      <c r="C297" s="2">
        <f>IFERROR(__xludf.DUMMYFUNCTION("""COMPUTED_VALUE"""),170.73)</f>
        <v>170.73</v>
      </c>
      <c r="D297" s="2">
        <f>IFERROR(__xludf.DUMMYFUNCTION("""COMPUTED_VALUE"""),168.49)</f>
        <v>168.49</v>
      </c>
      <c r="E297" s="2">
        <f>IFERROR(__xludf.DUMMYFUNCTION("""COMPUTED_VALUE"""),169.0)</f>
        <v>169</v>
      </c>
      <c r="F297" s="2">
        <f>IFERROR(__xludf.DUMMYFUNCTION("""COMPUTED_VALUE"""),7.1765061E7)</f>
        <v>71765061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IFERROR(__xludf.DUMMYFUNCTION("""COMPUTED_VALUE"""),169.0)</f>
        <v>169</v>
      </c>
      <c r="C298" s="2">
        <f>IFERROR(__xludf.DUMMYFUNCTION("""COMPUTED_VALUE"""),173.7)</f>
        <v>173.7</v>
      </c>
      <c r="D298" s="2">
        <f>IFERROR(__xludf.DUMMYFUNCTION("""COMPUTED_VALUE"""),168.94)</f>
        <v>168.94</v>
      </c>
      <c r="E298" s="2">
        <f>IFERROR(__xludf.DUMMYFUNCTION("""COMPUTED_VALUE"""),170.73)</f>
        <v>170.73</v>
      </c>
      <c r="F298" s="2">
        <f>IFERROR(__xludf.DUMMYFUNCTION("""COMPUTED_VALUE"""),7.6267041E7)</f>
        <v>76267041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IFERROR(__xludf.DUMMYFUNCTION("""COMPUTED_VALUE"""),172.94)</f>
        <v>172.94</v>
      </c>
      <c r="C299" s="2">
        <f>IFERROR(__xludf.DUMMYFUNCTION("""COMPUTED_VALUE"""),174.38)</f>
        <v>174.38</v>
      </c>
      <c r="D299" s="2">
        <f>IFERROR(__xludf.DUMMYFUNCTION("""COMPUTED_VALUE"""),172.05)</f>
        <v>172.05</v>
      </c>
      <c r="E299" s="2">
        <f>IFERROR(__xludf.DUMMYFUNCTION("""COMPUTED_VALUE"""),172.75)</f>
        <v>172.75</v>
      </c>
      <c r="F299" s="2">
        <f>IFERROR(__xludf.DUMMYFUNCTION("""COMPUTED_VALUE"""),6.0139473E7)</f>
        <v>60139473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IFERROR(__xludf.DUMMYFUNCTION("""COMPUTED_VALUE"""),173.15)</f>
        <v>173.15</v>
      </c>
      <c r="C300" s="2">
        <f>IFERROR(__xludf.DUMMYFUNCTION("""COMPUTED_VALUE"""),174.03)</f>
        <v>174.03</v>
      </c>
      <c r="D300" s="2">
        <f>IFERROR(__xludf.DUMMYFUNCTION("""COMPUTED_VALUE"""),171.01)</f>
        <v>171.01</v>
      </c>
      <c r="E300" s="2">
        <f>IFERROR(__xludf.DUMMYFUNCTION("""COMPUTED_VALUE"""),173.23)</f>
        <v>173.23</v>
      </c>
      <c r="F300" s="2">
        <f>IFERROR(__xludf.DUMMYFUNCTION("""COMPUTED_VALUE"""),5.9825372E7)</f>
        <v>59825372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IFERROR(__xludf.DUMMYFUNCTION("""COMPUTED_VALUE"""),172.77)</f>
        <v>172.77</v>
      </c>
      <c r="C301" s="2">
        <f>IFERROR(__xludf.DUMMYFUNCTION("""COMPUTED_VALUE"""),173.19)</f>
        <v>173.19</v>
      </c>
      <c r="D301" s="2">
        <f>IFERROR(__xludf.DUMMYFUNCTION("""COMPUTED_VALUE"""),170.76)</f>
        <v>170.76</v>
      </c>
      <c r="E301" s="2">
        <f>IFERROR(__xludf.DUMMYFUNCTION("""COMPUTED_VALUE"""),171.13)</f>
        <v>171.13</v>
      </c>
      <c r="F301" s="2">
        <f>IFERROR(__xludf.DUMMYFUNCTION("""COMPUTED_VALUE"""),5.2488692E7)</f>
        <v>52488692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IFERROR(__xludf.DUMMYFUNCTION("""COMPUTED_VALUE"""),172.91)</f>
        <v>172.91</v>
      </c>
      <c r="C302" s="2">
        <f>IFERROR(__xludf.DUMMYFUNCTION("""COMPUTED_VALUE"""),174.31)</f>
        <v>174.31</v>
      </c>
      <c r="D302" s="2">
        <f>IFERROR(__xludf.DUMMYFUNCTION("""COMPUTED_VALUE"""),172.05)</f>
        <v>172.05</v>
      </c>
      <c r="E302" s="2">
        <f>IFERROR(__xludf.DUMMYFUNCTION("""COMPUTED_VALUE"""),173.0)</f>
        <v>173</v>
      </c>
      <c r="F302" s="2">
        <f>IFERROR(__xludf.DUMMYFUNCTION("""COMPUTED_VALUE"""),7.2913507E7)</f>
        <v>72913507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IFERROR(__xludf.DUMMYFUNCTION("""COMPUTED_VALUE"""),171.17)</f>
        <v>171.17</v>
      </c>
      <c r="C303" s="2">
        <f>IFERROR(__xludf.DUMMYFUNCTION("""COMPUTED_VALUE"""),172.62)</f>
        <v>172.62</v>
      </c>
      <c r="D303" s="2">
        <f>IFERROR(__xludf.DUMMYFUNCTION("""COMPUTED_VALUE"""),170.29)</f>
        <v>170.29</v>
      </c>
      <c r="E303" s="2">
        <f>IFERROR(__xludf.DUMMYFUNCTION("""COMPUTED_VALUE"""),172.62)</f>
        <v>172.62</v>
      </c>
      <c r="F303" s="2">
        <f>IFERROR(__xludf.DUMMYFUNCTION("""COMPUTED_VALUE"""),1.21752699E8)</f>
        <v>121752699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IFERROR(__xludf.DUMMYFUNCTION("""COMPUTED_VALUE"""),175.57)</f>
        <v>175.57</v>
      </c>
      <c r="C304" s="2">
        <f>IFERROR(__xludf.DUMMYFUNCTION("""COMPUTED_VALUE"""),177.71)</f>
        <v>177.71</v>
      </c>
      <c r="D304" s="2">
        <f>IFERROR(__xludf.DUMMYFUNCTION("""COMPUTED_VALUE"""),173.52)</f>
        <v>173.52</v>
      </c>
      <c r="E304" s="2">
        <f>IFERROR(__xludf.DUMMYFUNCTION("""COMPUTED_VALUE"""),173.72)</f>
        <v>173.72</v>
      </c>
      <c r="F304" s="2">
        <f>IFERROR(__xludf.DUMMYFUNCTION("""COMPUTED_VALUE"""),7.5604184E7)</f>
        <v>75604184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IFERROR(__xludf.DUMMYFUNCTION("""COMPUTED_VALUE"""),174.34)</f>
        <v>174.34</v>
      </c>
      <c r="C305" s="2">
        <f>IFERROR(__xludf.DUMMYFUNCTION("""COMPUTED_VALUE"""),176.61)</f>
        <v>176.61</v>
      </c>
      <c r="D305" s="2">
        <f>IFERROR(__xludf.DUMMYFUNCTION("""COMPUTED_VALUE"""),173.03)</f>
        <v>173.03</v>
      </c>
      <c r="E305" s="2">
        <f>IFERROR(__xludf.DUMMYFUNCTION("""COMPUTED_VALUE"""),176.08)</f>
        <v>176.08</v>
      </c>
      <c r="F305" s="2">
        <f>IFERROR(__xludf.DUMMYFUNCTION("""COMPUTED_VALUE"""),5.5215244E7)</f>
        <v>55215244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IFERROR(__xludf.DUMMYFUNCTION("""COMPUTED_VALUE"""),175.72)</f>
        <v>175.72</v>
      </c>
      <c r="C306" s="2">
        <f>IFERROR(__xludf.DUMMYFUNCTION("""COMPUTED_VALUE"""),178.67)</f>
        <v>178.67</v>
      </c>
      <c r="D306" s="2">
        <f>IFERROR(__xludf.DUMMYFUNCTION("""COMPUTED_VALUE"""),175.09)</f>
        <v>175.09</v>
      </c>
      <c r="E306" s="2">
        <f>IFERROR(__xludf.DUMMYFUNCTION("""COMPUTED_VALUE"""),178.67)</f>
        <v>178.67</v>
      </c>
      <c r="F306" s="2">
        <f>IFERROR(__xludf.DUMMYFUNCTION("""COMPUTED_VALUE"""),5.3423102E7)</f>
        <v>53423102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IFERROR(__xludf.DUMMYFUNCTION("""COMPUTED_VALUE"""),177.05)</f>
        <v>177.05</v>
      </c>
      <c r="C307" s="2">
        <f>IFERROR(__xludf.DUMMYFUNCTION("""COMPUTED_VALUE"""),177.49)</f>
        <v>177.49</v>
      </c>
      <c r="D307" s="2">
        <f>IFERROR(__xludf.DUMMYFUNCTION("""COMPUTED_VALUE"""),170.84)</f>
        <v>170.84</v>
      </c>
      <c r="E307" s="2">
        <f>IFERROR(__xludf.DUMMYFUNCTION("""COMPUTED_VALUE"""),171.37)</f>
        <v>171.37</v>
      </c>
      <c r="F307" s="2">
        <f>IFERROR(__xludf.DUMMYFUNCTION("""COMPUTED_VALUE"""),1.0618127E8)</f>
        <v>106181270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IFERROR(__xludf.DUMMYFUNCTION("""COMPUTED_VALUE"""),171.76)</f>
        <v>171.76</v>
      </c>
      <c r="C308" s="2">
        <f>IFERROR(__xludf.DUMMYFUNCTION("""COMPUTED_VALUE"""),173.05)</f>
        <v>173.05</v>
      </c>
      <c r="D308" s="2">
        <f>IFERROR(__xludf.DUMMYFUNCTION("""COMPUTED_VALUE"""),170.06)</f>
        <v>170.06</v>
      </c>
      <c r="E308" s="2">
        <f>IFERROR(__xludf.DUMMYFUNCTION("""COMPUTED_VALUE"""),172.28)</f>
        <v>172.28</v>
      </c>
      <c r="F308" s="2">
        <f>IFERROR(__xludf.DUMMYFUNCTION("""COMPUTED_VALUE"""),7.1160138E7)</f>
        <v>71160138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IFERROR(__xludf.DUMMYFUNCTION("""COMPUTED_VALUE"""),170.57)</f>
        <v>170.57</v>
      </c>
      <c r="C309" s="2">
        <f>IFERROR(__xludf.DUMMYFUNCTION("""COMPUTED_VALUE"""),171.94)</f>
        <v>171.94</v>
      </c>
      <c r="D309" s="2">
        <f>IFERROR(__xludf.DUMMYFUNCTION("""COMPUTED_VALUE"""),169.45)</f>
        <v>169.45</v>
      </c>
      <c r="E309" s="2">
        <f>IFERROR(__xludf.DUMMYFUNCTION("""COMPUTED_VALUE"""),170.85)</f>
        <v>170.85</v>
      </c>
      <c r="F309" s="2">
        <f>IFERROR(__xludf.DUMMYFUNCTION("""COMPUTED_VALUE"""),5.4288328E7)</f>
        <v>54288328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IFERROR(__xludf.DUMMYFUNCTION("""COMPUTED_VALUE"""),170.0)</f>
        <v>170</v>
      </c>
      <c r="C310" s="2">
        <f>IFERROR(__xludf.DUMMYFUNCTION("""COMPUTED_VALUE"""),171.42)</f>
        <v>171.42</v>
      </c>
      <c r="D310" s="2">
        <f>IFERROR(__xludf.DUMMYFUNCTION("""COMPUTED_VALUE"""),169.58)</f>
        <v>169.58</v>
      </c>
      <c r="E310" s="2">
        <f>IFERROR(__xludf.DUMMYFUNCTION("""COMPUTED_VALUE"""),169.71)</f>
        <v>169.71</v>
      </c>
      <c r="F310" s="2">
        <f>IFERROR(__xludf.DUMMYFUNCTION("""COMPUTED_VALUE"""),5.7388449E7)</f>
        <v>57388449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IFERROR(__xludf.DUMMYFUNCTION("""COMPUTED_VALUE"""),170.41)</f>
        <v>170.41</v>
      </c>
      <c r="C311" s="2">
        <f>IFERROR(__xludf.DUMMYFUNCTION("""COMPUTED_VALUE"""),173.6)</f>
        <v>173.6</v>
      </c>
      <c r="D311" s="2">
        <f>IFERROR(__xludf.DUMMYFUNCTION("""COMPUTED_VALUE"""),170.11)</f>
        <v>170.11</v>
      </c>
      <c r="E311" s="2">
        <f>IFERROR(__xludf.DUMMYFUNCTION("""COMPUTED_VALUE"""),173.31)</f>
        <v>173.31</v>
      </c>
      <c r="F311" s="2">
        <f>IFERROR(__xludf.DUMMYFUNCTION("""COMPUTED_VALUE"""),6.0273265E7)</f>
        <v>60273265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IFERROR(__xludf.DUMMYFUNCTION("""COMPUTED_VALUE"""),171.75)</f>
        <v>171.75</v>
      </c>
      <c r="C312" s="2">
        <f>IFERROR(__xludf.DUMMYFUNCTION("""COMPUTED_VALUE"""),172.23)</f>
        <v>172.23</v>
      </c>
      <c r="D312" s="2">
        <f>IFERROR(__xludf.DUMMYFUNCTION("""COMPUTED_VALUE"""),170.51)</f>
        <v>170.51</v>
      </c>
      <c r="E312" s="2">
        <f>IFERROR(__xludf.DUMMYFUNCTION("""COMPUTED_VALUE"""),171.48)</f>
        <v>171.48</v>
      </c>
      <c r="F312" s="2">
        <f>IFERROR(__xludf.DUMMYFUNCTION("""COMPUTED_VALUE"""),6.567269E7)</f>
        <v>65672690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IFERROR(__xludf.DUMMYFUNCTION("""COMPUTED_VALUE"""),171.19)</f>
        <v>171.19</v>
      </c>
      <c r="C313" s="2">
        <f>IFERROR(__xludf.DUMMYFUNCTION("""COMPUTED_VALUE"""),171.25)</f>
        <v>171.25</v>
      </c>
      <c r="D313" s="2">
        <f>IFERROR(__xludf.DUMMYFUNCTION("""COMPUTED_VALUE"""),169.48)</f>
        <v>169.48</v>
      </c>
      <c r="E313" s="2">
        <f>IFERROR(__xludf.DUMMYFUNCTION("""COMPUTED_VALUE"""),170.03)</f>
        <v>170.03</v>
      </c>
      <c r="F313" s="2">
        <f>IFERROR(__xludf.DUMMYFUNCTION("""COMPUTED_VALUE"""),4.62405E7)</f>
        <v>46240500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IFERROR(__xludf.DUMMYFUNCTION("""COMPUTED_VALUE"""),169.08)</f>
        <v>169.08</v>
      </c>
      <c r="C314" s="2">
        <f>IFERROR(__xludf.DUMMYFUNCTION("""COMPUTED_VALUE"""),169.34)</f>
        <v>169.34</v>
      </c>
      <c r="D314" s="2">
        <f>IFERROR(__xludf.DUMMYFUNCTION("""COMPUTED_VALUE"""),168.23)</f>
        <v>168.23</v>
      </c>
      <c r="E314" s="2">
        <f>IFERROR(__xludf.DUMMYFUNCTION("""COMPUTED_VALUE"""),168.84)</f>
        <v>168.84</v>
      </c>
      <c r="F314" s="2">
        <f>IFERROR(__xludf.DUMMYFUNCTION("""COMPUTED_VALUE"""),4.9329481E7)</f>
        <v>49329481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IFERROR(__xludf.DUMMYFUNCTION("""COMPUTED_VALUE"""),168.79)</f>
        <v>168.79</v>
      </c>
      <c r="C315" s="2">
        <f>IFERROR(__xludf.DUMMYFUNCTION("""COMPUTED_VALUE"""),170.68)</f>
        <v>170.68</v>
      </c>
      <c r="D315" s="2">
        <f>IFERROR(__xludf.DUMMYFUNCTION("""COMPUTED_VALUE"""),168.58)</f>
        <v>168.58</v>
      </c>
      <c r="E315" s="2">
        <f>IFERROR(__xludf.DUMMYFUNCTION("""COMPUTED_VALUE"""),169.65)</f>
        <v>169.65</v>
      </c>
      <c r="F315" s="2">
        <f>IFERROR(__xludf.DUMMYFUNCTION("""COMPUTED_VALUE"""),4.7691715E7)</f>
        <v>47691715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IFERROR(__xludf.DUMMYFUNCTION("""COMPUTED_VALUE"""),170.29)</f>
        <v>170.29</v>
      </c>
      <c r="C316" s="2">
        <f>IFERROR(__xludf.DUMMYFUNCTION("""COMPUTED_VALUE"""),171.92)</f>
        <v>171.92</v>
      </c>
      <c r="D316" s="2">
        <f>IFERROR(__xludf.DUMMYFUNCTION("""COMPUTED_VALUE"""),168.82)</f>
        <v>168.82</v>
      </c>
      <c r="E316" s="2">
        <f>IFERROR(__xludf.DUMMYFUNCTION("""COMPUTED_VALUE"""),168.82)</f>
        <v>168.82</v>
      </c>
      <c r="F316" s="2">
        <f>IFERROR(__xludf.DUMMYFUNCTION("""COMPUTED_VALUE"""),5.3704386E7)</f>
        <v>53704386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IFERROR(__xludf.DUMMYFUNCTION("""COMPUTED_VALUE"""),169.59)</f>
        <v>169.59</v>
      </c>
      <c r="C317" s="2">
        <f>IFERROR(__xludf.DUMMYFUNCTION("""COMPUTED_VALUE"""),170.39)</f>
        <v>170.39</v>
      </c>
      <c r="D317" s="2">
        <f>IFERROR(__xludf.DUMMYFUNCTION("""COMPUTED_VALUE"""),168.95)</f>
        <v>168.95</v>
      </c>
      <c r="E317" s="2">
        <f>IFERROR(__xludf.DUMMYFUNCTION("""COMPUTED_VALUE"""),169.58)</f>
        <v>169.58</v>
      </c>
      <c r="F317" s="2">
        <f>IFERROR(__xludf.DUMMYFUNCTION("""COMPUTED_VALUE"""),4.2104826E7)</f>
        <v>42104826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IFERROR(__xludf.DUMMYFUNCTION("""COMPUTED_VALUE"""),169.03)</f>
        <v>169.03</v>
      </c>
      <c r="C318" s="2">
        <f>IFERROR(__xludf.DUMMYFUNCTION("""COMPUTED_VALUE"""),169.2)</f>
        <v>169.2</v>
      </c>
      <c r="D318" s="2">
        <f>IFERROR(__xludf.DUMMYFUNCTION("""COMPUTED_VALUE"""),168.24)</f>
        <v>168.24</v>
      </c>
      <c r="E318" s="2">
        <f>IFERROR(__xludf.DUMMYFUNCTION("""COMPUTED_VALUE"""),168.45)</f>
        <v>168.45</v>
      </c>
      <c r="F318" s="2">
        <f>IFERROR(__xludf.DUMMYFUNCTION("""COMPUTED_VALUE"""),3.7425513E7)</f>
        <v>37425513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IFERROR(__xludf.DUMMYFUNCTION("""COMPUTED_VALUE"""),168.7)</f>
        <v>168.7</v>
      </c>
      <c r="C319" s="2">
        <f>IFERROR(__xludf.DUMMYFUNCTION("""COMPUTED_VALUE"""),170.08)</f>
        <v>170.08</v>
      </c>
      <c r="D319" s="2">
        <f>IFERROR(__xludf.DUMMYFUNCTION("""COMPUTED_VALUE"""),168.35)</f>
        <v>168.35</v>
      </c>
      <c r="E319" s="2">
        <f>IFERROR(__xludf.DUMMYFUNCTION("""COMPUTED_VALUE"""),169.67)</f>
        <v>169.67</v>
      </c>
      <c r="F319" s="2">
        <f>IFERROR(__xludf.DUMMYFUNCTION("""COMPUTED_VALUE"""),4.2451209E7)</f>
        <v>42451209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IFERROR(__xludf.DUMMYFUNCTION("""COMPUTED_VALUE"""),168.8)</f>
        <v>168.8</v>
      </c>
      <c r="C320" s="2">
        <f>IFERROR(__xludf.DUMMYFUNCTION("""COMPUTED_VALUE"""),169.09)</f>
        <v>169.09</v>
      </c>
      <c r="D320" s="2">
        <f>IFERROR(__xludf.DUMMYFUNCTION("""COMPUTED_VALUE"""),167.11)</f>
        <v>167.11</v>
      </c>
      <c r="E320" s="2">
        <f>IFERROR(__xludf.DUMMYFUNCTION("""COMPUTED_VALUE"""),167.78)</f>
        <v>167.78</v>
      </c>
      <c r="F320" s="2">
        <f>IFERROR(__xludf.DUMMYFUNCTION("""COMPUTED_VALUE"""),4.9709336E7)</f>
        <v>49709336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IFERROR(__xludf.DUMMYFUNCTION("""COMPUTED_VALUE"""),168.34)</f>
        <v>168.34</v>
      </c>
      <c r="C321" s="2">
        <f>IFERROR(__xludf.DUMMYFUNCTION("""COMPUTED_VALUE"""),175.46)</f>
        <v>175.46</v>
      </c>
      <c r="D321" s="2">
        <f>IFERROR(__xludf.DUMMYFUNCTION("""COMPUTED_VALUE"""),168.16)</f>
        <v>168.16</v>
      </c>
      <c r="E321" s="2">
        <f>IFERROR(__xludf.DUMMYFUNCTION("""COMPUTED_VALUE"""),175.04)</f>
        <v>175.04</v>
      </c>
      <c r="F321" s="2">
        <f>IFERROR(__xludf.DUMMYFUNCTION("""COMPUTED_VALUE"""),9.1070275E7)</f>
        <v>91070275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IFERROR(__xludf.DUMMYFUNCTION("""COMPUTED_VALUE"""),174.26)</f>
        <v>174.26</v>
      </c>
      <c r="C322" s="2">
        <f>IFERROR(__xludf.DUMMYFUNCTION("""COMPUTED_VALUE"""),178.36)</f>
        <v>178.36</v>
      </c>
      <c r="D322" s="2">
        <f>IFERROR(__xludf.DUMMYFUNCTION("""COMPUTED_VALUE"""),174.21)</f>
        <v>174.21</v>
      </c>
      <c r="E322" s="2">
        <f>IFERROR(__xludf.DUMMYFUNCTION("""COMPUTED_VALUE"""),176.55)</f>
        <v>176.55</v>
      </c>
      <c r="F322" s="2">
        <f>IFERROR(__xludf.DUMMYFUNCTION("""COMPUTED_VALUE"""),1.01670886E8)</f>
        <v>101670886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IFERROR(__xludf.DUMMYFUNCTION("""COMPUTED_VALUE"""),175.36)</f>
        <v>175.36</v>
      </c>
      <c r="C323" s="2">
        <f>IFERROR(__xludf.DUMMYFUNCTION("""COMPUTED_VALUE"""),176.63)</f>
        <v>176.63</v>
      </c>
      <c r="D323" s="2">
        <f>IFERROR(__xludf.DUMMYFUNCTION("""COMPUTED_VALUE"""),172.5)</f>
        <v>172.5</v>
      </c>
      <c r="E323" s="2">
        <f>IFERROR(__xludf.DUMMYFUNCTION("""COMPUTED_VALUE"""),172.69)</f>
        <v>172.69</v>
      </c>
      <c r="F323" s="2">
        <f>IFERROR(__xludf.DUMMYFUNCTION("""COMPUTED_VALUE"""),7.3531773E7)</f>
        <v>73531773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IFERROR(__xludf.DUMMYFUNCTION("""COMPUTED_VALUE"""),171.75)</f>
        <v>171.75</v>
      </c>
      <c r="C324" s="2">
        <f>IFERROR(__xludf.DUMMYFUNCTION("""COMPUTED_VALUE"""),173.76)</f>
        <v>173.76</v>
      </c>
      <c r="D324" s="2">
        <f>IFERROR(__xludf.DUMMYFUNCTION("""COMPUTED_VALUE"""),168.27)</f>
        <v>168.27</v>
      </c>
      <c r="E324" s="2">
        <f>IFERROR(__xludf.DUMMYFUNCTION("""COMPUTED_VALUE"""),169.38)</f>
        <v>169.38</v>
      </c>
      <c r="F324" s="2">
        <f>IFERROR(__xludf.DUMMYFUNCTION("""COMPUTED_VALUE"""),7.3711235E7)</f>
        <v>73711235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IFERROR(__xludf.DUMMYFUNCTION("""COMPUTED_VALUE"""),169.61)</f>
        <v>169.61</v>
      </c>
      <c r="C325" s="2">
        <f>IFERROR(__xludf.DUMMYFUNCTION("""COMPUTED_VALUE"""),170.65)</f>
        <v>170.65</v>
      </c>
      <c r="D325" s="2">
        <f>IFERROR(__xludf.DUMMYFUNCTION("""COMPUTED_VALUE"""),168.0)</f>
        <v>168</v>
      </c>
      <c r="E325" s="2">
        <f>IFERROR(__xludf.DUMMYFUNCTION("""COMPUTED_VALUE"""),168.0)</f>
        <v>168</v>
      </c>
      <c r="F325" s="2">
        <f>IFERROR(__xludf.DUMMYFUNCTION("""COMPUTED_VALUE"""),5.090121E7)</f>
        <v>50901210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IFERROR(__xludf.DUMMYFUNCTION("""COMPUTED_VALUE"""),168.03)</f>
        <v>168.03</v>
      </c>
      <c r="C326" s="2">
        <f>IFERROR(__xludf.DUMMYFUNCTION("""COMPUTED_VALUE"""),168.64)</f>
        <v>168.64</v>
      </c>
      <c r="D326" s="2">
        <f>IFERROR(__xludf.DUMMYFUNCTION("""COMPUTED_VALUE"""),166.55)</f>
        <v>166.55</v>
      </c>
      <c r="E326" s="2">
        <f>IFERROR(__xludf.DUMMYFUNCTION("""COMPUTED_VALUE"""),167.04)</f>
        <v>167.04</v>
      </c>
      <c r="F326" s="2">
        <f>IFERROR(__xludf.DUMMYFUNCTION("""COMPUTED_VALUE"""),4.3122903E7)</f>
        <v>43122903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IFERROR(__xludf.DUMMYFUNCTION("""COMPUTED_VALUE"""),166.21)</f>
        <v>166.21</v>
      </c>
      <c r="C327" s="2">
        <f>IFERROR(__xludf.DUMMYFUNCTION("""COMPUTED_VALUE"""),166.4)</f>
        <v>166.4</v>
      </c>
      <c r="D327" s="2">
        <f>IFERROR(__xludf.DUMMYFUNCTION("""COMPUTED_VALUE"""),164.08)</f>
        <v>164.08</v>
      </c>
      <c r="E327" s="2">
        <f>IFERROR(__xludf.DUMMYFUNCTION("""COMPUTED_VALUE"""),165.0)</f>
        <v>165</v>
      </c>
      <c r="F327" s="2">
        <f>IFERROR(__xludf.DUMMYFUNCTION("""COMPUTED_VALUE"""),6.8149377E7)</f>
        <v>68149377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IFERROR(__xludf.DUMMYFUNCTION("""COMPUTED_VALUE"""),165.52)</f>
        <v>165.52</v>
      </c>
      <c r="C328" s="2">
        <f>IFERROR(__xludf.DUMMYFUNCTION("""COMPUTED_VALUE"""),167.26)</f>
        <v>167.26</v>
      </c>
      <c r="D328" s="2">
        <f>IFERROR(__xludf.DUMMYFUNCTION("""COMPUTED_VALUE"""),164.77)</f>
        <v>164.77</v>
      </c>
      <c r="E328" s="2">
        <f>IFERROR(__xludf.DUMMYFUNCTION("""COMPUTED_VALUE"""),165.84)</f>
        <v>165.84</v>
      </c>
      <c r="F328" s="2">
        <f>IFERROR(__xludf.DUMMYFUNCTION("""COMPUTED_VALUE"""),4.8116443E7)</f>
        <v>48116443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IFERROR(__xludf.DUMMYFUNCTION("""COMPUTED_VALUE"""),165.35)</f>
        <v>165.35</v>
      </c>
      <c r="C329" s="2">
        <f>IFERROR(__xludf.DUMMYFUNCTION("""COMPUTED_VALUE"""),167.05)</f>
        <v>167.05</v>
      </c>
      <c r="D329" s="2">
        <f>IFERROR(__xludf.DUMMYFUNCTION("""COMPUTED_VALUE"""),164.92)</f>
        <v>164.92</v>
      </c>
      <c r="E329" s="2">
        <f>IFERROR(__xludf.DUMMYFUNCTION("""COMPUTED_VALUE"""),166.9)</f>
        <v>166.9</v>
      </c>
      <c r="F329" s="2">
        <f>IFERROR(__xludf.DUMMYFUNCTION("""COMPUTED_VALUE"""),4.9537761E7)</f>
        <v>49537761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IFERROR(__xludf.DUMMYFUNCTION("""COMPUTED_VALUE"""),166.54)</f>
        <v>166.54</v>
      </c>
      <c r="C330" s="2">
        <f>IFERROR(__xludf.DUMMYFUNCTION("""COMPUTED_VALUE"""),169.3)</f>
        <v>169.3</v>
      </c>
      <c r="D330" s="2">
        <f>IFERROR(__xludf.DUMMYFUNCTION("""COMPUTED_VALUE"""),166.21)</f>
        <v>166.21</v>
      </c>
      <c r="E330" s="2">
        <f>IFERROR(__xludf.DUMMYFUNCTION("""COMPUTED_VALUE"""),169.02)</f>
        <v>169.02</v>
      </c>
      <c r="F330" s="2">
        <f>IFERROR(__xludf.DUMMYFUNCTION("""COMPUTED_VALUE"""),4.8251835E7)</f>
        <v>48251835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IFERROR(__xludf.DUMMYFUNCTION("""COMPUTED_VALUE"""),169.53)</f>
        <v>169.53</v>
      </c>
      <c r="C331" s="2">
        <f>IFERROR(__xludf.DUMMYFUNCTION("""COMPUTED_VALUE"""),170.61)</f>
        <v>170.61</v>
      </c>
      <c r="D331" s="2">
        <f>IFERROR(__xludf.DUMMYFUNCTION("""COMPUTED_VALUE"""),168.15)</f>
        <v>168.15</v>
      </c>
      <c r="E331" s="2">
        <f>IFERROR(__xludf.DUMMYFUNCTION("""COMPUTED_VALUE"""),169.89)</f>
        <v>169.89</v>
      </c>
      <c r="F331" s="2">
        <f>IFERROR(__xludf.DUMMYFUNCTION("""COMPUTED_VALUE"""),5.0558329E7)</f>
        <v>50558329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IFERROR(__xludf.DUMMYFUNCTION("""COMPUTED_VALUE"""),169.88)</f>
        <v>169.88</v>
      </c>
      <c r="C332" s="2">
        <f>IFERROR(__xludf.DUMMYFUNCTION("""COMPUTED_VALUE"""),171.34)</f>
        <v>171.34</v>
      </c>
      <c r="D332" s="2">
        <f>IFERROR(__xludf.DUMMYFUNCTION("""COMPUTED_VALUE"""),169.18)</f>
        <v>169.18</v>
      </c>
      <c r="E332" s="2">
        <f>IFERROR(__xludf.DUMMYFUNCTION("""COMPUTED_VALUE"""),169.3)</f>
        <v>169.3</v>
      </c>
      <c r="F332" s="2">
        <f>IFERROR(__xludf.DUMMYFUNCTION("""COMPUTED_VALUE"""),4.4838354E7)</f>
        <v>44838354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IFERROR(__xludf.DUMMYFUNCTION("""COMPUTED_VALUE"""),173.37)</f>
        <v>173.37</v>
      </c>
      <c r="C333" s="2">
        <f>IFERROR(__xludf.DUMMYFUNCTION("""COMPUTED_VALUE"""),176.03)</f>
        <v>176.03</v>
      </c>
      <c r="D333" s="2">
        <f>IFERROR(__xludf.DUMMYFUNCTION("""COMPUTED_VALUE"""),173.1)</f>
        <v>173.1</v>
      </c>
      <c r="E333" s="2">
        <f>IFERROR(__xludf.DUMMYFUNCTION("""COMPUTED_VALUE"""),173.5)</f>
        <v>173.5</v>
      </c>
      <c r="F333" s="2">
        <f>IFERROR(__xludf.DUMMYFUNCTION("""COMPUTED_VALUE"""),6.8169419E7)</f>
        <v>68169419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IFERROR(__xludf.DUMMYFUNCTION("""COMPUTED_VALUE"""),173.33)</f>
        <v>173.33</v>
      </c>
      <c r="C334" s="2">
        <f>IFERROR(__xludf.DUMMYFUNCTION("""COMPUTED_VALUE"""),174.99)</f>
        <v>174.99</v>
      </c>
      <c r="D334" s="2">
        <f>IFERROR(__xludf.DUMMYFUNCTION("""COMPUTED_VALUE"""),170.0)</f>
        <v>170</v>
      </c>
      <c r="E334" s="2">
        <f>IFERROR(__xludf.DUMMYFUNCTION("""COMPUTED_VALUE"""),170.33)</f>
        <v>170.33</v>
      </c>
      <c r="F334" s="2">
        <f>IFERROR(__xludf.DUMMYFUNCTION("""COMPUTED_VALUE"""),6.5934776E7)</f>
        <v>65934776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IFERROR(__xludf.DUMMYFUNCTION("""COMPUTED_VALUE"""),169.58)</f>
        <v>169.58</v>
      </c>
      <c r="C335" s="2">
        <f>IFERROR(__xludf.DUMMYFUNCTION("""COMPUTED_VALUE"""),172.71)</f>
        <v>172.71</v>
      </c>
      <c r="D335" s="2">
        <f>IFERROR(__xludf.DUMMYFUNCTION("""COMPUTED_VALUE"""),169.11)</f>
        <v>169.11</v>
      </c>
      <c r="E335" s="2">
        <f>IFERROR(__xludf.DUMMYFUNCTION("""COMPUTED_VALUE"""),169.3)</f>
        <v>169.3</v>
      </c>
      <c r="F335" s="2">
        <f>IFERROR(__xludf.DUMMYFUNCTION("""COMPUTED_VALUE"""),5.0383147E7)</f>
        <v>50383147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IFERROR(__xludf.DUMMYFUNCTION("""COMPUTED_VALUE"""),172.51)</f>
        <v>172.51</v>
      </c>
      <c r="C336" s="2">
        <f>IFERROR(__xludf.DUMMYFUNCTION("""COMPUTED_VALUE"""),173.42)</f>
        <v>173.42</v>
      </c>
      <c r="D336" s="2">
        <f>IFERROR(__xludf.DUMMYFUNCTION("""COMPUTED_VALUE"""),170.89)</f>
        <v>170.89</v>
      </c>
      <c r="E336" s="2">
        <f>IFERROR(__xludf.DUMMYFUNCTION("""COMPUTED_VALUE"""),173.03)</f>
        <v>173.03</v>
      </c>
      <c r="F336" s="2">
        <f>IFERROR(__xludf.DUMMYFUNCTION("""COMPUTED_VALUE"""),9.4214915E7)</f>
        <v>94214915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IFERROR(__xludf.DUMMYFUNCTION("""COMPUTED_VALUE"""),186.65)</f>
        <v>186.65</v>
      </c>
      <c r="C337" s="2">
        <f>IFERROR(__xludf.DUMMYFUNCTION("""COMPUTED_VALUE"""),187.0)</f>
        <v>187</v>
      </c>
      <c r="D337" s="2">
        <f>IFERROR(__xludf.DUMMYFUNCTION("""COMPUTED_VALUE"""),182.66)</f>
        <v>182.66</v>
      </c>
      <c r="E337" s="2">
        <f>IFERROR(__xludf.DUMMYFUNCTION("""COMPUTED_VALUE"""),183.38)</f>
        <v>183.38</v>
      </c>
      <c r="F337" s="2">
        <f>IFERROR(__xludf.DUMMYFUNCTION("""COMPUTED_VALUE"""),1.63224109E8)</f>
        <v>163224109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IFERROR(__xludf.DUMMYFUNCTION("""COMPUTED_VALUE"""),182.35)</f>
        <v>182.35</v>
      </c>
      <c r="C338" s="2">
        <f>IFERROR(__xludf.DUMMYFUNCTION("""COMPUTED_VALUE"""),184.2)</f>
        <v>184.2</v>
      </c>
      <c r="D338" s="2">
        <f>IFERROR(__xludf.DUMMYFUNCTION("""COMPUTED_VALUE"""),180.42)</f>
        <v>180.42</v>
      </c>
      <c r="E338" s="2">
        <f>IFERROR(__xludf.DUMMYFUNCTION("""COMPUTED_VALUE"""),181.71)</f>
        <v>181.71</v>
      </c>
      <c r="F338" s="2">
        <f>IFERROR(__xludf.DUMMYFUNCTION("""COMPUTED_VALUE"""),7.8569667E7)</f>
        <v>78569667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IFERROR(__xludf.DUMMYFUNCTION("""COMPUTED_VALUE"""),183.45)</f>
        <v>183.45</v>
      </c>
      <c r="C339" s="2">
        <f>IFERROR(__xludf.DUMMYFUNCTION("""COMPUTED_VALUE"""),184.9)</f>
        <v>184.9</v>
      </c>
      <c r="D339" s="2">
        <f>IFERROR(__xludf.DUMMYFUNCTION("""COMPUTED_VALUE"""),181.32)</f>
        <v>181.32</v>
      </c>
      <c r="E339" s="2">
        <f>IFERROR(__xludf.DUMMYFUNCTION("""COMPUTED_VALUE"""),182.4)</f>
        <v>182.4</v>
      </c>
      <c r="F339" s="2">
        <f>IFERROR(__xludf.DUMMYFUNCTION("""COMPUTED_VALUE"""),7.7305771E7)</f>
        <v>77305771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IFERROR(__xludf.DUMMYFUNCTION("""COMPUTED_VALUE"""),182.85)</f>
        <v>182.85</v>
      </c>
      <c r="C340" s="2">
        <f>IFERROR(__xludf.DUMMYFUNCTION("""COMPUTED_VALUE"""),183.07)</f>
        <v>183.07</v>
      </c>
      <c r="D340" s="2">
        <f>IFERROR(__xludf.DUMMYFUNCTION("""COMPUTED_VALUE"""),181.45)</f>
        <v>181.45</v>
      </c>
      <c r="E340" s="2">
        <f>IFERROR(__xludf.DUMMYFUNCTION("""COMPUTED_VALUE"""),182.74)</f>
        <v>182.74</v>
      </c>
      <c r="F340" s="2">
        <f>IFERROR(__xludf.DUMMYFUNCTION("""COMPUTED_VALUE"""),4.5057087E7)</f>
        <v>45057087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IFERROR(__xludf.DUMMYFUNCTION("""COMPUTED_VALUE"""),182.56)</f>
        <v>182.56</v>
      </c>
      <c r="C341" s="2">
        <f>IFERROR(__xludf.DUMMYFUNCTION("""COMPUTED_VALUE"""),184.66)</f>
        <v>184.66</v>
      </c>
      <c r="D341" s="2">
        <f>IFERROR(__xludf.DUMMYFUNCTION("""COMPUTED_VALUE"""),182.11)</f>
        <v>182.11</v>
      </c>
      <c r="E341" s="2">
        <f>IFERROR(__xludf.DUMMYFUNCTION("""COMPUTED_VALUE"""),184.57)</f>
        <v>184.57</v>
      </c>
      <c r="F341" s="2">
        <f>IFERROR(__xludf.DUMMYFUNCTION("""COMPUTED_VALUE"""),4.8982972E7)</f>
        <v>48982972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IFERROR(__xludf.DUMMYFUNCTION("""COMPUTED_VALUE"""),184.9)</f>
        <v>184.9</v>
      </c>
      <c r="C342" s="2">
        <f>IFERROR(__xludf.DUMMYFUNCTION("""COMPUTED_VALUE"""),185.09)</f>
        <v>185.09</v>
      </c>
      <c r="D342" s="2">
        <f>IFERROR(__xludf.DUMMYFUNCTION("""COMPUTED_VALUE"""),182.13)</f>
        <v>182.13</v>
      </c>
      <c r="E342" s="2">
        <f>IFERROR(__xludf.DUMMYFUNCTION("""COMPUTED_VALUE"""),183.05)</f>
        <v>183.05</v>
      </c>
      <c r="F342" s="2">
        <f>IFERROR(__xludf.DUMMYFUNCTION("""COMPUTED_VALUE"""),5.0759496E7)</f>
        <v>50759496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IFERROR(__xludf.DUMMYFUNCTION("""COMPUTED_VALUE"""),185.44)</f>
        <v>185.44</v>
      </c>
      <c r="C343" s="2">
        <f>IFERROR(__xludf.DUMMYFUNCTION("""COMPUTED_VALUE"""),187.1)</f>
        <v>187.1</v>
      </c>
      <c r="D343" s="2">
        <f>IFERROR(__xludf.DUMMYFUNCTION("""COMPUTED_VALUE"""),184.62)</f>
        <v>184.62</v>
      </c>
      <c r="E343" s="2">
        <f>IFERROR(__xludf.DUMMYFUNCTION("""COMPUTED_VALUE"""),186.28)</f>
        <v>186.28</v>
      </c>
      <c r="F343" s="2">
        <f>IFERROR(__xludf.DUMMYFUNCTION("""COMPUTED_VALUE"""),7.2044809E7)</f>
        <v>72044809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IFERROR(__xludf.DUMMYFUNCTION("""COMPUTED_VALUE"""),187.51)</f>
        <v>187.51</v>
      </c>
      <c r="C344" s="2">
        <f>IFERROR(__xludf.DUMMYFUNCTION("""COMPUTED_VALUE"""),188.3)</f>
        <v>188.3</v>
      </c>
      <c r="D344" s="2">
        <f>IFERROR(__xludf.DUMMYFUNCTION("""COMPUTED_VALUE"""),186.29)</f>
        <v>186.29</v>
      </c>
      <c r="E344" s="2">
        <f>IFERROR(__xludf.DUMMYFUNCTION("""COMPUTED_VALUE"""),187.43)</f>
        <v>187.43</v>
      </c>
      <c r="F344" s="2">
        <f>IFERROR(__xludf.DUMMYFUNCTION("""COMPUTED_VALUE"""),5.2393619E7)</f>
        <v>52393619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IFERROR(__xludf.DUMMYFUNCTION("""COMPUTED_VALUE"""),187.91)</f>
        <v>187.91</v>
      </c>
      <c r="C345" s="2">
        <f>IFERROR(__xludf.DUMMYFUNCTION("""COMPUTED_VALUE"""),190.65)</f>
        <v>190.65</v>
      </c>
      <c r="D345" s="2">
        <f>IFERROR(__xludf.DUMMYFUNCTION("""COMPUTED_VALUE"""),187.37)</f>
        <v>187.37</v>
      </c>
      <c r="E345" s="2">
        <f>IFERROR(__xludf.DUMMYFUNCTION("""COMPUTED_VALUE"""),189.72)</f>
        <v>189.72</v>
      </c>
      <c r="F345" s="2">
        <f>IFERROR(__xludf.DUMMYFUNCTION("""COMPUTED_VALUE"""),7.0399988E7)</f>
        <v>70399988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IFERROR(__xludf.DUMMYFUNCTION("""COMPUTED_VALUE"""),190.47)</f>
        <v>190.47</v>
      </c>
      <c r="C346" s="2">
        <f>IFERROR(__xludf.DUMMYFUNCTION("""COMPUTED_VALUE"""),191.1)</f>
        <v>191.1</v>
      </c>
      <c r="D346" s="2">
        <f>IFERROR(__xludf.DUMMYFUNCTION("""COMPUTED_VALUE"""),189.66)</f>
        <v>189.66</v>
      </c>
      <c r="E346" s="2">
        <f>IFERROR(__xludf.DUMMYFUNCTION("""COMPUTED_VALUE"""),189.84)</f>
        <v>189.84</v>
      </c>
      <c r="F346" s="2">
        <f>IFERROR(__xludf.DUMMYFUNCTION("""COMPUTED_VALUE"""),5.284523E7)</f>
        <v>52845230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IFERROR(__xludf.DUMMYFUNCTION("""COMPUTED_VALUE"""),189.51)</f>
        <v>189.51</v>
      </c>
      <c r="C347" s="2">
        <f>IFERROR(__xludf.DUMMYFUNCTION("""COMPUTED_VALUE"""),190.81)</f>
        <v>190.81</v>
      </c>
      <c r="D347" s="2">
        <f>IFERROR(__xludf.DUMMYFUNCTION("""COMPUTED_VALUE"""),189.18)</f>
        <v>189.18</v>
      </c>
      <c r="E347" s="2">
        <f>IFERROR(__xludf.DUMMYFUNCTION("""COMPUTED_VALUE"""),189.87)</f>
        <v>189.87</v>
      </c>
      <c r="F347" s="2">
        <f>IFERROR(__xludf.DUMMYFUNCTION("""COMPUTED_VALUE"""),4.1282925E7)</f>
        <v>41282925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IFERROR(__xludf.DUMMYFUNCTION("""COMPUTED_VALUE"""),189.35)</f>
        <v>189.35</v>
      </c>
      <c r="C348" s="2">
        <f>IFERROR(__xludf.DUMMYFUNCTION("""COMPUTED_VALUE"""),191.92)</f>
        <v>191.92</v>
      </c>
      <c r="D348" s="2">
        <f>IFERROR(__xludf.DUMMYFUNCTION("""COMPUTED_VALUE"""),189.01)</f>
        <v>189.01</v>
      </c>
      <c r="E348" s="2">
        <f>IFERROR(__xludf.DUMMYFUNCTION("""COMPUTED_VALUE"""),191.04)</f>
        <v>191.04</v>
      </c>
      <c r="F348" s="2">
        <f>IFERROR(__xludf.DUMMYFUNCTION("""COMPUTED_VALUE"""),4.4361275E7)</f>
        <v>44361275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IFERROR(__xludf.DUMMYFUNCTION("""COMPUTED_VALUE"""),191.09)</f>
        <v>191.09</v>
      </c>
      <c r="C349" s="2">
        <f>IFERROR(__xludf.DUMMYFUNCTION("""COMPUTED_VALUE"""),192.73)</f>
        <v>192.73</v>
      </c>
      <c r="D349" s="2">
        <f>IFERROR(__xludf.DUMMYFUNCTION("""COMPUTED_VALUE"""),190.92)</f>
        <v>190.92</v>
      </c>
      <c r="E349" s="2">
        <f>IFERROR(__xludf.DUMMYFUNCTION("""COMPUTED_VALUE"""),192.35)</f>
        <v>192.35</v>
      </c>
      <c r="F349" s="2">
        <f>IFERROR(__xludf.DUMMYFUNCTION("""COMPUTED_VALUE"""),4.2309401E7)</f>
        <v>42309401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IFERROR(__xludf.DUMMYFUNCTION("""COMPUTED_VALUE"""),192.27)</f>
        <v>192.27</v>
      </c>
      <c r="C350" s="2">
        <f>IFERROR(__xludf.DUMMYFUNCTION("""COMPUTED_VALUE"""),192.82)</f>
        <v>192.82</v>
      </c>
      <c r="D350" s="2">
        <f>IFERROR(__xludf.DUMMYFUNCTION("""COMPUTED_VALUE"""),190.27)</f>
        <v>190.27</v>
      </c>
      <c r="E350" s="2">
        <f>IFERROR(__xludf.DUMMYFUNCTION("""COMPUTED_VALUE"""),190.9)</f>
        <v>190.9</v>
      </c>
      <c r="F350" s="2">
        <f>IFERROR(__xludf.DUMMYFUNCTION("""COMPUTED_VALUE"""),3.4648547E7)</f>
        <v>34648547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IFERROR(__xludf.DUMMYFUNCTION("""COMPUTED_VALUE"""),190.98)</f>
        <v>190.98</v>
      </c>
      <c r="C351" s="2">
        <f>IFERROR(__xludf.DUMMYFUNCTION("""COMPUTED_VALUE"""),191.0)</f>
        <v>191</v>
      </c>
      <c r="D351" s="2">
        <f>IFERROR(__xludf.DUMMYFUNCTION("""COMPUTED_VALUE"""),186.63)</f>
        <v>186.63</v>
      </c>
      <c r="E351" s="2">
        <f>IFERROR(__xludf.DUMMYFUNCTION("""COMPUTED_VALUE"""),186.88)</f>
        <v>186.88</v>
      </c>
      <c r="F351" s="2">
        <f>IFERROR(__xludf.DUMMYFUNCTION("""COMPUTED_VALUE"""),5.1005924E7)</f>
        <v>51005924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IFERROR(__xludf.DUMMYFUNCTION("""COMPUTED_VALUE"""),188.82)</f>
        <v>188.82</v>
      </c>
      <c r="C352" s="2">
        <f>IFERROR(__xludf.DUMMYFUNCTION("""COMPUTED_VALUE"""),190.58)</f>
        <v>190.58</v>
      </c>
      <c r="D352" s="2">
        <f>IFERROR(__xludf.DUMMYFUNCTION("""COMPUTED_VALUE"""),188.04)</f>
        <v>188.04</v>
      </c>
      <c r="E352" s="2">
        <f>IFERROR(__xludf.DUMMYFUNCTION("""COMPUTED_VALUE"""),189.98)</f>
        <v>189.98</v>
      </c>
      <c r="F352" s="2">
        <f>IFERROR(__xludf.DUMMYFUNCTION("""COMPUTED_VALUE"""),3.6326975E7)</f>
        <v>36326975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IFERROR(__xludf.DUMMYFUNCTION("""COMPUTED_VALUE"""),191.51)</f>
        <v>191.51</v>
      </c>
      <c r="C353" s="2">
        <f>IFERROR(__xludf.DUMMYFUNCTION("""COMPUTED_VALUE"""),193.0)</f>
        <v>193</v>
      </c>
      <c r="D353" s="2">
        <f>IFERROR(__xludf.DUMMYFUNCTION("""COMPUTED_VALUE"""),189.1)</f>
        <v>189.1</v>
      </c>
      <c r="E353" s="2">
        <f>IFERROR(__xludf.DUMMYFUNCTION("""COMPUTED_VALUE"""),189.99)</f>
        <v>189.99</v>
      </c>
      <c r="F353" s="2">
        <f>IFERROR(__xludf.DUMMYFUNCTION("""COMPUTED_VALUE"""),5.2280051E7)</f>
        <v>52280051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IFERROR(__xludf.DUMMYFUNCTION("""COMPUTED_VALUE"""),189.61)</f>
        <v>189.61</v>
      </c>
      <c r="C354" s="2">
        <f>IFERROR(__xludf.DUMMYFUNCTION("""COMPUTED_VALUE"""),192.25)</f>
        <v>192.25</v>
      </c>
      <c r="D354" s="2">
        <f>IFERROR(__xludf.DUMMYFUNCTION("""COMPUTED_VALUE"""),189.51)</f>
        <v>189.51</v>
      </c>
      <c r="E354" s="2">
        <f>IFERROR(__xludf.DUMMYFUNCTION("""COMPUTED_VALUE"""),190.29)</f>
        <v>190.29</v>
      </c>
      <c r="F354" s="2">
        <f>IFERROR(__xludf.DUMMYFUNCTION("""COMPUTED_VALUE"""),5.3068016E7)</f>
        <v>53068016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IFERROR(__xludf.DUMMYFUNCTION("""COMPUTED_VALUE"""),190.76)</f>
        <v>190.76</v>
      </c>
      <c r="C355" s="2">
        <f>IFERROR(__xludf.DUMMYFUNCTION("""COMPUTED_VALUE"""),192.18)</f>
        <v>192.18</v>
      </c>
      <c r="D355" s="2">
        <f>IFERROR(__xludf.DUMMYFUNCTION("""COMPUTED_VALUE"""),190.63)</f>
        <v>190.63</v>
      </c>
      <c r="E355" s="2">
        <f>IFERROR(__xludf.DUMMYFUNCTION("""COMPUTED_VALUE"""),191.29)</f>
        <v>191.29</v>
      </c>
      <c r="F355" s="2">
        <f>IFERROR(__xludf.DUMMYFUNCTION("""COMPUTED_VALUE"""),4.9947941E7)</f>
        <v>49947941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IFERROR(__xludf.DUMMYFUNCTION("""COMPUTED_VALUE"""),191.44)</f>
        <v>191.44</v>
      </c>
      <c r="C356" s="2">
        <f>IFERROR(__xludf.DUMMYFUNCTION("""COMPUTED_VALUE"""),192.57)</f>
        <v>192.57</v>
      </c>
      <c r="D356" s="2">
        <f>IFERROR(__xludf.DUMMYFUNCTION("""COMPUTED_VALUE"""),189.91)</f>
        <v>189.91</v>
      </c>
      <c r="E356" s="2">
        <f>IFERROR(__xludf.DUMMYFUNCTION("""COMPUTED_VALUE"""),192.25)</f>
        <v>192.25</v>
      </c>
      <c r="F356" s="2">
        <f>IFERROR(__xludf.DUMMYFUNCTION("""COMPUTED_VALUE"""),7.5158277E7)</f>
        <v>75158277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IFERROR(__xludf.DUMMYFUNCTION("""COMPUTED_VALUE"""),192.9)</f>
        <v>192.9</v>
      </c>
      <c r="C357" s="2">
        <f>IFERROR(__xludf.DUMMYFUNCTION("""COMPUTED_VALUE"""),194.99)</f>
        <v>194.99</v>
      </c>
      <c r="D357" s="2">
        <f>IFERROR(__xludf.DUMMYFUNCTION("""COMPUTED_VALUE"""),192.52)</f>
        <v>192.52</v>
      </c>
      <c r="E357" s="2">
        <f>IFERROR(__xludf.DUMMYFUNCTION("""COMPUTED_VALUE"""),194.03)</f>
        <v>194.03</v>
      </c>
      <c r="F357" s="2">
        <f>IFERROR(__xludf.DUMMYFUNCTION("""COMPUTED_VALUE"""),5.0080539E7)</f>
        <v>50080539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IFERROR(__xludf.DUMMYFUNCTION("""COMPUTED_VALUE"""),194.64)</f>
        <v>194.64</v>
      </c>
      <c r="C358" s="2">
        <f>IFERROR(__xludf.DUMMYFUNCTION("""COMPUTED_VALUE"""),195.32)</f>
        <v>195.32</v>
      </c>
      <c r="D358" s="2">
        <f>IFERROR(__xludf.DUMMYFUNCTION("""COMPUTED_VALUE"""),193.03)</f>
        <v>193.03</v>
      </c>
      <c r="E358" s="2">
        <f>IFERROR(__xludf.DUMMYFUNCTION("""COMPUTED_VALUE"""),194.35)</f>
        <v>194.35</v>
      </c>
      <c r="F358" s="2">
        <f>IFERROR(__xludf.DUMMYFUNCTION("""COMPUTED_VALUE"""),4.7471445E7)</f>
        <v>47471445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IFERROR(__xludf.DUMMYFUNCTION("""COMPUTED_VALUE"""),195.4)</f>
        <v>195.4</v>
      </c>
      <c r="C359" s="2">
        <f>IFERROR(__xludf.DUMMYFUNCTION("""COMPUTED_VALUE"""),196.9)</f>
        <v>196.9</v>
      </c>
      <c r="D359" s="2">
        <f>IFERROR(__xludf.DUMMYFUNCTION("""COMPUTED_VALUE"""),194.87)</f>
        <v>194.87</v>
      </c>
      <c r="E359" s="2">
        <f>IFERROR(__xludf.DUMMYFUNCTION("""COMPUTED_VALUE"""),195.87)</f>
        <v>195.87</v>
      </c>
      <c r="F359" s="2">
        <f>IFERROR(__xludf.DUMMYFUNCTION("""COMPUTED_VALUE"""),5.4156785E7)</f>
        <v>54156785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IFERROR(__xludf.DUMMYFUNCTION("""COMPUTED_VALUE"""),195.69)</f>
        <v>195.69</v>
      </c>
      <c r="C360" s="2">
        <f>IFERROR(__xludf.DUMMYFUNCTION("""COMPUTED_VALUE"""),196.5)</f>
        <v>196.5</v>
      </c>
      <c r="D360" s="2">
        <f>IFERROR(__xludf.DUMMYFUNCTION("""COMPUTED_VALUE"""),194.17)</f>
        <v>194.17</v>
      </c>
      <c r="E360" s="2">
        <f>IFERROR(__xludf.DUMMYFUNCTION("""COMPUTED_VALUE"""),194.48)</f>
        <v>194.48</v>
      </c>
      <c r="F360" s="2">
        <f>IFERROR(__xludf.DUMMYFUNCTION("""COMPUTED_VALUE"""),4.1181753E7)</f>
        <v>41181753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IFERROR(__xludf.DUMMYFUNCTION("""COMPUTED_VALUE"""),194.65)</f>
        <v>194.65</v>
      </c>
      <c r="C361" s="2">
        <f>IFERROR(__xludf.DUMMYFUNCTION("""COMPUTED_VALUE"""),196.94)</f>
        <v>196.94</v>
      </c>
      <c r="D361" s="2">
        <f>IFERROR(__xludf.DUMMYFUNCTION("""COMPUTED_VALUE"""),194.14)</f>
        <v>194.14</v>
      </c>
      <c r="E361" s="2">
        <f>IFERROR(__xludf.DUMMYFUNCTION("""COMPUTED_VALUE"""),196.89)</f>
        <v>196.89</v>
      </c>
      <c r="F361" s="2">
        <f>IFERROR(__xludf.DUMMYFUNCTION("""COMPUTED_VALUE"""),5.3103912E7)</f>
        <v>53103912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IFERROR(__xludf.DUMMYFUNCTION("""COMPUTED_VALUE"""),196.9)</f>
        <v>196.9</v>
      </c>
      <c r="C362" s="2">
        <f>IFERROR(__xludf.DUMMYFUNCTION("""COMPUTED_VALUE"""),197.3)</f>
        <v>197.3</v>
      </c>
      <c r="D362" s="2">
        <f>IFERROR(__xludf.DUMMYFUNCTION("""COMPUTED_VALUE"""),192.15)</f>
        <v>192.15</v>
      </c>
      <c r="E362" s="2">
        <f>IFERROR(__xludf.DUMMYFUNCTION("""COMPUTED_VALUE"""),193.12)</f>
        <v>193.12</v>
      </c>
      <c r="F362" s="2">
        <f>IFERROR(__xludf.DUMMYFUNCTION("""COMPUTED_VALUE"""),9.7262077E7)</f>
        <v>97262077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IFERROR(__xludf.DUMMYFUNCTION("""COMPUTED_VALUE"""),193.65)</f>
        <v>193.65</v>
      </c>
      <c r="C363" s="2">
        <f>IFERROR(__xludf.DUMMYFUNCTION("""COMPUTED_VALUE"""),207.16)</f>
        <v>207.16</v>
      </c>
      <c r="D363" s="2">
        <f>IFERROR(__xludf.DUMMYFUNCTION("""COMPUTED_VALUE"""),193.63)</f>
        <v>193.63</v>
      </c>
      <c r="E363" s="2">
        <f>IFERROR(__xludf.DUMMYFUNCTION("""COMPUTED_VALUE"""),207.15)</f>
        <v>207.15</v>
      </c>
      <c r="F363" s="2">
        <f>IFERROR(__xludf.DUMMYFUNCTION("""COMPUTED_VALUE"""),1.72373296E8)</f>
        <v>172373296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IFERROR(__xludf.DUMMYFUNCTION("""COMPUTED_VALUE"""),207.37)</f>
        <v>207.37</v>
      </c>
      <c r="C364" s="2">
        <f>IFERROR(__xludf.DUMMYFUNCTION("""COMPUTED_VALUE"""),220.2)</f>
        <v>220.2</v>
      </c>
      <c r="D364" s="2">
        <f>IFERROR(__xludf.DUMMYFUNCTION("""COMPUTED_VALUE"""),206.9)</f>
        <v>206.9</v>
      </c>
      <c r="E364" s="2">
        <f>IFERROR(__xludf.DUMMYFUNCTION("""COMPUTED_VALUE"""),213.07)</f>
        <v>213.07</v>
      </c>
      <c r="F364" s="2">
        <f>IFERROR(__xludf.DUMMYFUNCTION("""COMPUTED_VALUE"""),1.98134293E8)</f>
        <v>198134293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IFERROR(__xludf.DUMMYFUNCTION("""COMPUTED_VALUE"""),214.74)</f>
        <v>214.74</v>
      </c>
      <c r="C365" s="2">
        <f>IFERROR(__xludf.DUMMYFUNCTION("""COMPUTED_VALUE"""),216.75)</f>
        <v>216.75</v>
      </c>
      <c r="D365" s="2">
        <f>IFERROR(__xludf.DUMMYFUNCTION("""COMPUTED_VALUE"""),211.6)</f>
        <v>211.6</v>
      </c>
      <c r="E365" s="2">
        <f>IFERROR(__xludf.DUMMYFUNCTION("""COMPUTED_VALUE"""),214.24)</f>
        <v>214.24</v>
      </c>
      <c r="F365" s="2">
        <f>IFERROR(__xludf.DUMMYFUNCTION("""COMPUTED_VALUE"""),9.7862729E7)</f>
        <v>97862729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IFERROR(__xludf.DUMMYFUNCTION("""COMPUTED_VALUE"""),213.85)</f>
        <v>213.85</v>
      </c>
      <c r="C366" s="2">
        <f>IFERROR(__xludf.DUMMYFUNCTION("""COMPUTED_VALUE"""),215.17)</f>
        <v>215.17</v>
      </c>
      <c r="D366" s="2">
        <f>IFERROR(__xludf.DUMMYFUNCTION("""COMPUTED_VALUE"""),211.3)</f>
        <v>211.3</v>
      </c>
      <c r="E366" s="2">
        <f>IFERROR(__xludf.DUMMYFUNCTION("""COMPUTED_VALUE"""),212.49)</f>
        <v>212.49</v>
      </c>
      <c r="F366" s="2">
        <f>IFERROR(__xludf.DUMMYFUNCTION("""COMPUTED_VALUE"""),7.0122748E7)</f>
        <v>70122748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IFERROR(__xludf.DUMMYFUNCTION("""COMPUTED_VALUE"""),213.37)</f>
        <v>213.37</v>
      </c>
      <c r="C367" s="2">
        <f>IFERROR(__xludf.DUMMYFUNCTION("""COMPUTED_VALUE"""),218.95)</f>
        <v>218.95</v>
      </c>
      <c r="D367" s="2">
        <f>IFERROR(__xludf.DUMMYFUNCTION("""COMPUTED_VALUE"""),212.72)</f>
        <v>212.72</v>
      </c>
      <c r="E367" s="2">
        <f>IFERROR(__xludf.DUMMYFUNCTION("""COMPUTED_VALUE"""),216.67)</f>
        <v>216.67</v>
      </c>
      <c r="F367" s="2">
        <f>IFERROR(__xludf.DUMMYFUNCTION("""COMPUTED_VALUE"""),9.37283E7)</f>
        <v>93728300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IFERROR(__xludf.DUMMYFUNCTION("""COMPUTED_VALUE"""),217.59)</f>
        <v>217.59</v>
      </c>
      <c r="C368" s="2">
        <f>IFERROR(__xludf.DUMMYFUNCTION("""COMPUTED_VALUE"""),218.63)</f>
        <v>218.63</v>
      </c>
      <c r="D368" s="2">
        <f>IFERROR(__xludf.DUMMYFUNCTION("""COMPUTED_VALUE"""),213.0)</f>
        <v>213</v>
      </c>
      <c r="E368" s="2">
        <f>IFERROR(__xludf.DUMMYFUNCTION("""COMPUTED_VALUE"""),214.29)</f>
        <v>214.29</v>
      </c>
      <c r="F368" s="2">
        <f>IFERROR(__xludf.DUMMYFUNCTION("""COMPUTED_VALUE"""),7.9943254E7)</f>
        <v>79943254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IFERROR(__xludf.DUMMYFUNCTION("""COMPUTED_VALUE"""),213.93)</f>
        <v>213.93</v>
      </c>
      <c r="C369" s="2">
        <f>IFERROR(__xludf.DUMMYFUNCTION("""COMPUTED_VALUE"""),214.24)</f>
        <v>214.24</v>
      </c>
      <c r="D369" s="2">
        <f>IFERROR(__xludf.DUMMYFUNCTION("""COMPUTED_VALUE"""),208.85)</f>
        <v>208.85</v>
      </c>
      <c r="E369" s="2">
        <f>IFERROR(__xludf.DUMMYFUNCTION("""COMPUTED_VALUE"""),209.68)</f>
        <v>209.68</v>
      </c>
      <c r="F369" s="2">
        <f>IFERROR(__xludf.DUMMYFUNCTION("""COMPUTED_VALUE"""),8.6172451E7)</f>
        <v>86172451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IFERROR(__xludf.DUMMYFUNCTION("""COMPUTED_VALUE"""),210.39)</f>
        <v>210.39</v>
      </c>
      <c r="C370" s="2">
        <f>IFERROR(__xludf.DUMMYFUNCTION("""COMPUTED_VALUE"""),211.89)</f>
        <v>211.89</v>
      </c>
      <c r="D370" s="2">
        <f>IFERROR(__xludf.DUMMYFUNCTION("""COMPUTED_VALUE"""),207.11)</f>
        <v>207.11</v>
      </c>
      <c r="E370" s="2">
        <f>IFERROR(__xludf.DUMMYFUNCTION("""COMPUTED_VALUE"""),207.49)</f>
        <v>207.49</v>
      </c>
      <c r="F370" s="2">
        <f>IFERROR(__xludf.DUMMYFUNCTION("""COMPUTED_VALUE"""),2.46421353E8)</f>
        <v>246421353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IFERROR(__xludf.DUMMYFUNCTION("""COMPUTED_VALUE"""),207.72)</f>
        <v>207.72</v>
      </c>
      <c r="C371" s="2">
        <f>IFERROR(__xludf.DUMMYFUNCTION("""COMPUTED_VALUE"""),212.7)</f>
        <v>212.7</v>
      </c>
      <c r="D371" s="2">
        <f>IFERROR(__xludf.DUMMYFUNCTION("""COMPUTED_VALUE"""),206.59)</f>
        <v>206.59</v>
      </c>
      <c r="E371" s="2">
        <f>IFERROR(__xludf.DUMMYFUNCTION("""COMPUTED_VALUE"""),208.14)</f>
        <v>208.14</v>
      </c>
      <c r="F371" s="2">
        <f>IFERROR(__xludf.DUMMYFUNCTION("""COMPUTED_VALUE"""),8.0727006E7)</f>
        <v>80727006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IFERROR(__xludf.DUMMYFUNCTION("""COMPUTED_VALUE"""),209.15)</f>
        <v>209.15</v>
      </c>
      <c r="C372" s="2">
        <f>IFERROR(__xludf.DUMMYFUNCTION("""COMPUTED_VALUE"""),211.38)</f>
        <v>211.38</v>
      </c>
      <c r="D372" s="2">
        <f>IFERROR(__xludf.DUMMYFUNCTION("""COMPUTED_VALUE"""),208.61)</f>
        <v>208.61</v>
      </c>
      <c r="E372" s="2">
        <f>IFERROR(__xludf.DUMMYFUNCTION("""COMPUTED_VALUE"""),209.07)</f>
        <v>209.07</v>
      </c>
      <c r="F372" s="2">
        <f>IFERROR(__xludf.DUMMYFUNCTION("""COMPUTED_VALUE"""),5.6713868E7)</f>
        <v>56713868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IFERROR(__xludf.DUMMYFUNCTION("""COMPUTED_VALUE"""),211.5)</f>
        <v>211.5</v>
      </c>
      <c r="C373" s="2">
        <f>IFERROR(__xludf.DUMMYFUNCTION("""COMPUTED_VALUE"""),214.86)</f>
        <v>214.86</v>
      </c>
      <c r="D373" s="2">
        <f>IFERROR(__xludf.DUMMYFUNCTION("""COMPUTED_VALUE"""),210.64)</f>
        <v>210.64</v>
      </c>
      <c r="E373" s="2">
        <f>IFERROR(__xludf.DUMMYFUNCTION("""COMPUTED_VALUE"""),213.25)</f>
        <v>213.25</v>
      </c>
      <c r="F373" s="2">
        <f>IFERROR(__xludf.DUMMYFUNCTION("""COMPUTED_VALUE"""),6.6213186E7)</f>
        <v>66213186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IFERROR(__xludf.DUMMYFUNCTION("""COMPUTED_VALUE"""),214.69)</f>
        <v>214.69</v>
      </c>
      <c r="C374" s="2">
        <f>IFERROR(__xludf.DUMMYFUNCTION("""COMPUTED_VALUE"""),215.74)</f>
        <v>215.74</v>
      </c>
      <c r="D374" s="2">
        <f>IFERROR(__xludf.DUMMYFUNCTION("""COMPUTED_VALUE"""),212.35)</f>
        <v>212.35</v>
      </c>
      <c r="E374" s="2">
        <f>IFERROR(__xludf.DUMMYFUNCTION("""COMPUTED_VALUE"""),214.1)</f>
        <v>214.1</v>
      </c>
      <c r="F374" s="2">
        <f>IFERROR(__xludf.DUMMYFUNCTION("""COMPUTED_VALUE"""),4.9772707E7)</f>
        <v>49772707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IFERROR(__xludf.DUMMYFUNCTION("""COMPUTED_VALUE"""),215.77)</f>
        <v>215.77</v>
      </c>
      <c r="C375" s="2">
        <f>IFERROR(__xludf.DUMMYFUNCTION("""COMPUTED_VALUE"""),216.07)</f>
        <v>216.07</v>
      </c>
      <c r="D375" s="2">
        <f>IFERROR(__xludf.DUMMYFUNCTION("""COMPUTED_VALUE"""),210.3)</f>
        <v>210.3</v>
      </c>
      <c r="E375" s="2">
        <f>IFERROR(__xludf.DUMMYFUNCTION("""COMPUTED_VALUE"""),210.62)</f>
        <v>210.62</v>
      </c>
      <c r="F375" s="2">
        <f>IFERROR(__xludf.DUMMYFUNCTION("""COMPUTED_VALUE"""),8.2542718E7)</f>
        <v>82542718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IFERROR(__xludf.DUMMYFUNCTION("""COMPUTED_VALUE"""),212.09)</f>
        <v>212.09</v>
      </c>
      <c r="C376" s="2">
        <f>IFERROR(__xludf.DUMMYFUNCTION("""COMPUTED_VALUE"""),217.51)</f>
        <v>217.51</v>
      </c>
      <c r="D376" s="2">
        <f>IFERROR(__xludf.DUMMYFUNCTION("""COMPUTED_VALUE"""),211.92)</f>
        <v>211.92</v>
      </c>
      <c r="E376" s="2">
        <f>IFERROR(__xludf.DUMMYFUNCTION("""COMPUTED_VALUE"""),216.75)</f>
        <v>216.75</v>
      </c>
      <c r="F376" s="2">
        <f>IFERROR(__xludf.DUMMYFUNCTION("""COMPUTED_VALUE"""),6.0402929E7)</f>
        <v>60402929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IFERROR(__xludf.DUMMYFUNCTION("""COMPUTED_VALUE"""),216.15)</f>
        <v>216.15</v>
      </c>
      <c r="C377" s="2">
        <f>IFERROR(__xludf.DUMMYFUNCTION("""COMPUTED_VALUE"""),220.38)</f>
        <v>220.38</v>
      </c>
      <c r="D377" s="2">
        <f>IFERROR(__xludf.DUMMYFUNCTION("""COMPUTED_VALUE"""),215.1)</f>
        <v>215.1</v>
      </c>
      <c r="E377" s="2">
        <f>IFERROR(__xludf.DUMMYFUNCTION("""COMPUTED_VALUE"""),220.27)</f>
        <v>220.27</v>
      </c>
      <c r="F377" s="2">
        <f>IFERROR(__xludf.DUMMYFUNCTION("""COMPUTED_VALUE"""),5.8046178E7)</f>
        <v>58046178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IFERROR(__xludf.DUMMYFUNCTION("""COMPUTED_VALUE"""),220.0)</f>
        <v>220</v>
      </c>
      <c r="C378" s="2">
        <f>IFERROR(__xludf.DUMMYFUNCTION("""COMPUTED_VALUE"""),221.55)</f>
        <v>221.55</v>
      </c>
      <c r="D378" s="2">
        <f>IFERROR(__xludf.DUMMYFUNCTION("""COMPUTED_VALUE"""),219.03)</f>
        <v>219.03</v>
      </c>
      <c r="E378" s="2">
        <f>IFERROR(__xludf.DUMMYFUNCTION("""COMPUTED_VALUE"""),221.55)</f>
        <v>221.55</v>
      </c>
      <c r="F378" s="2">
        <f>IFERROR(__xludf.DUMMYFUNCTION("""COMPUTED_VALUE"""),3.7369801E7)</f>
        <v>37369801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IFERROR(__xludf.DUMMYFUNCTION("""COMPUTED_VALUE"""),221.65)</f>
        <v>221.65</v>
      </c>
      <c r="C379" s="2">
        <f>IFERROR(__xludf.DUMMYFUNCTION("""COMPUTED_VALUE"""),226.45)</f>
        <v>226.45</v>
      </c>
      <c r="D379" s="2">
        <f>IFERROR(__xludf.DUMMYFUNCTION("""COMPUTED_VALUE"""),221.65)</f>
        <v>221.65</v>
      </c>
      <c r="E379" s="2">
        <f>IFERROR(__xludf.DUMMYFUNCTION("""COMPUTED_VALUE"""),226.34)</f>
        <v>226.34</v>
      </c>
      <c r="F379" s="2">
        <f>IFERROR(__xludf.DUMMYFUNCTION("""COMPUTED_VALUE"""),6.0412408E7)</f>
        <v>60412408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IFERROR(__xludf.DUMMYFUNCTION("""COMPUTED_VALUE"""),227.09)</f>
        <v>227.09</v>
      </c>
      <c r="C380" s="2">
        <f>IFERROR(__xludf.DUMMYFUNCTION("""COMPUTED_VALUE"""),227.85)</f>
        <v>227.85</v>
      </c>
      <c r="D380" s="2">
        <f>IFERROR(__xludf.DUMMYFUNCTION("""COMPUTED_VALUE"""),223.25)</f>
        <v>223.25</v>
      </c>
      <c r="E380" s="2">
        <f>IFERROR(__xludf.DUMMYFUNCTION("""COMPUTED_VALUE"""),227.82)</f>
        <v>227.82</v>
      </c>
      <c r="F380" s="2">
        <f>IFERROR(__xludf.DUMMYFUNCTION("""COMPUTED_VALUE"""),5.9085861E7)</f>
        <v>59085861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IFERROR(__xludf.DUMMYFUNCTION("""COMPUTED_VALUE"""),227.93)</f>
        <v>227.93</v>
      </c>
      <c r="C381" s="2">
        <f>IFERROR(__xludf.DUMMYFUNCTION("""COMPUTED_VALUE"""),229.4)</f>
        <v>229.4</v>
      </c>
      <c r="D381" s="2">
        <f>IFERROR(__xludf.DUMMYFUNCTION("""COMPUTED_VALUE"""),226.37)</f>
        <v>226.37</v>
      </c>
      <c r="E381" s="2">
        <f>IFERROR(__xludf.DUMMYFUNCTION("""COMPUTED_VALUE"""),228.68)</f>
        <v>228.68</v>
      </c>
      <c r="F381" s="2">
        <f>IFERROR(__xludf.DUMMYFUNCTION("""COMPUTED_VALUE"""),4.8169822E7)</f>
        <v>48169822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IFERROR(__xludf.DUMMYFUNCTION("""COMPUTED_VALUE"""),229.3)</f>
        <v>229.3</v>
      </c>
      <c r="C382" s="2">
        <f>IFERROR(__xludf.DUMMYFUNCTION("""COMPUTED_VALUE"""),233.08)</f>
        <v>233.08</v>
      </c>
      <c r="D382" s="2">
        <f>IFERROR(__xludf.DUMMYFUNCTION("""COMPUTED_VALUE"""),229.25)</f>
        <v>229.25</v>
      </c>
      <c r="E382" s="2">
        <f>IFERROR(__xludf.DUMMYFUNCTION("""COMPUTED_VALUE"""),232.98)</f>
        <v>232.98</v>
      </c>
      <c r="F382" s="2">
        <f>IFERROR(__xludf.DUMMYFUNCTION("""COMPUTED_VALUE"""),6.2627687E7)</f>
        <v>62627687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IFERROR(__xludf.DUMMYFUNCTION("""COMPUTED_VALUE"""),231.39)</f>
        <v>231.39</v>
      </c>
      <c r="C383" s="2">
        <f>IFERROR(__xludf.DUMMYFUNCTION("""COMPUTED_VALUE"""),232.39)</f>
        <v>232.39</v>
      </c>
      <c r="D383" s="2">
        <f>IFERROR(__xludf.DUMMYFUNCTION("""COMPUTED_VALUE"""),225.77)</f>
        <v>225.77</v>
      </c>
      <c r="E383" s="2">
        <f>IFERROR(__xludf.DUMMYFUNCTION("""COMPUTED_VALUE"""),227.57)</f>
        <v>227.57</v>
      </c>
      <c r="F383" s="2">
        <f>IFERROR(__xludf.DUMMYFUNCTION("""COMPUTED_VALUE"""),6.4710617E7)</f>
        <v>64710617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IFERROR(__xludf.DUMMYFUNCTION("""COMPUTED_VALUE"""),228.92)</f>
        <v>228.92</v>
      </c>
      <c r="C384" s="2">
        <f>IFERROR(__xludf.DUMMYFUNCTION("""COMPUTED_VALUE"""),232.64)</f>
        <v>232.64</v>
      </c>
      <c r="D384" s="2">
        <f>IFERROR(__xludf.DUMMYFUNCTION("""COMPUTED_VALUE"""),228.68)</f>
        <v>228.68</v>
      </c>
      <c r="E384" s="2">
        <f>IFERROR(__xludf.DUMMYFUNCTION("""COMPUTED_VALUE"""),230.54)</f>
        <v>230.54</v>
      </c>
      <c r="F384" s="2">
        <f>IFERROR(__xludf.DUMMYFUNCTION("""COMPUTED_VALUE"""),5.3046527E7)</f>
        <v>53046527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IFERROR(__xludf.DUMMYFUNCTION("""COMPUTED_VALUE"""),236.48)</f>
        <v>236.48</v>
      </c>
      <c r="C385" s="2">
        <f>IFERROR(__xludf.DUMMYFUNCTION("""COMPUTED_VALUE"""),237.23)</f>
        <v>237.23</v>
      </c>
      <c r="D385" s="2">
        <f>IFERROR(__xludf.DUMMYFUNCTION("""COMPUTED_VALUE"""),233.09)</f>
        <v>233.09</v>
      </c>
      <c r="E385" s="2">
        <f>IFERROR(__xludf.DUMMYFUNCTION("""COMPUTED_VALUE"""),234.4)</f>
        <v>234.4</v>
      </c>
      <c r="F385" s="2">
        <f>IFERROR(__xludf.DUMMYFUNCTION("""COMPUTED_VALUE"""),6.2631252E7)</f>
        <v>62631252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IFERROR(__xludf.DUMMYFUNCTION("""COMPUTED_VALUE"""),235.0)</f>
        <v>235</v>
      </c>
      <c r="C386" s="2">
        <f>IFERROR(__xludf.DUMMYFUNCTION("""COMPUTED_VALUE"""),236.27)</f>
        <v>236.27</v>
      </c>
      <c r="D386" s="2">
        <f>IFERROR(__xludf.DUMMYFUNCTION("""COMPUTED_VALUE"""),232.33)</f>
        <v>232.33</v>
      </c>
      <c r="E386" s="2">
        <f>IFERROR(__xludf.DUMMYFUNCTION("""COMPUTED_VALUE"""),234.82)</f>
        <v>234.82</v>
      </c>
      <c r="F386" s="2">
        <f>IFERROR(__xludf.DUMMYFUNCTION("""COMPUTED_VALUE"""),4.3234278E7)</f>
        <v>43234278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IFERROR(__xludf.DUMMYFUNCTION("""COMPUTED_VALUE"""),229.45)</f>
        <v>229.45</v>
      </c>
      <c r="C387" s="2">
        <f>IFERROR(__xludf.DUMMYFUNCTION("""COMPUTED_VALUE"""),231.46)</f>
        <v>231.46</v>
      </c>
      <c r="D387" s="2">
        <f>IFERROR(__xludf.DUMMYFUNCTION("""COMPUTED_VALUE"""),226.64)</f>
        <v>226.64</v>
      </c>
      <c r="E387" s="2">
        <f>IFERROR(__xludf.DUMMYFUNCTION("""COMPUTED_VALUE"""),228.88)</f>
        <v>228.88</v>
      </c>
      <c r="F387" s="2">
        <f>IFERROR(__xludf.DUMMYFUNCTION("""COMPUTED_VALUE"""),5.7345884E7)</f>
        <v>57345884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IFERROR(__xludf.DUMMYFUNCTION("""COMPUTED_VALUE"""),230.28)</f>
        <v>230.28</v>
      </c>
      <c r="C388" s="2">
        <f>IFERROR(__xludf.DUMMYFUNCTION("""COMPUTED_VALUE"""),230.44)</f>
        <v>230.44</v>
      </c>
      <c r="D388" s="2">
        <f>IFERROR(__xludf.DUMMYFUNCTION("""COMPUTED_VALUE"""),222.27)</f>
        <v>222.27</v>
      </c>
      <c r="E388" s="2">
        <f>IFERROR(__xludf.DUMMYFUNCTION("""COMPUTED_VALUE"""),224.18)</f>
        <v>224.18</v>
      </c>
      <c r="F388" s="2">
        <f>IFERROR(__xludf.DUMMYFUNCTION("""COMPUTED_VALUE"""),6.6034585E7)</f>
        <v>66034585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IFERROR(__xludf.DUMMYFUNCTION("""COMPUTED_VALUE"""),224.82)</f>
        <v>224.82</v>
      </c>
      <c r="C389" s="2">
        <f>IFERROR(__xludf.DUMMYFUNCTION("""COMPUTED_VALUE"""),226.8)</f>
        <v>226.8</v>
      </c>
      <c r="D389" s="2">
        <f>IFERROR(__xludf.DUMMYFUNCTION("""COMPUTED_VALUE"""),223.28)</f>
        <v>223.28</v>
      </c>
      <c r="E389" s="2">
        <f>IFERROR(__xludf.DUMMYFUNCTION("""COMPUTED_VALUE"""),224.31)</f>
        <v>224.31</v>
      </c>
      <c r="F389" s="2">
        <f>IFERROR(__xludf.DUMMYFUNCTION("""COMPUTED_VALUE"""),4.9151453E7)</f>
        <v>49151453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IFERROR(__xludf.DUMMYFUNCTION("""COMPUTED_VALUE"""),227.01)</f>
        <v>227.01</v>
      </c>
      <c r="C390" s="2">
        <f>IFERROR(__xludf.DUMMYFUNCTION("""COMPUTED_VALUE"""),227.78)</f>
        <v>227.78</v>
      </c>
      <c r="D390" s="2">
        <f>IFERROR(__xludf.DUMMYFUNCTION("""COMPUTED_VALUE"""),223.09)</f>
        <v>223.09</v>
      </c>
      <c r="E390" s="2">
        <f>IFERROR(__xludf.DUMMYFUNCTION("""COMPUTED_VALUE"""),223.96)</f>
        <v>223.96</v>
      </c>
      <c r="F390" s="2">
        <f>IFERROR(__xludf.DUMMYFUNCTION("""COMPUTED_VALUE"""),4.8201835E7)</f>
        <v>48201835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IFERROR(__xludf.DUMMYFUNCTION("""COMPUTED_VALUE"""),224.37)</f>
        <v>224.37</v>
      </c>
      <c r="C391" s="2">
        <f>IFERROR(__xludf.DUMMYFUNCTION("""COMPUTED_VALUE"""),226.94)</f>
        <v>226.94</v>
      </c>
      <c r="D391" s="2">
        <f>IFERROR(__xludf.DUMMYFUNCTION("""COMPUTED_VALUE"""),222.68)</f>
        <v>222.68</v>
      </c>
      <c r="E391" s="2">
        <f>IFERROR(__xludf.DUMMYFUNCTION("""COMPUTED_VALUE"""),225.01)</f>
        <v>225.01</v>
      </c>
      <c r="F391" s="2">
        <f>IFERROR(__xludf.DUMMYFUNCTION("""COMPUTED_VALUE"""),3.996026E7)</f>
        <v>39960260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IFERROR(__xludf.DUMMYFUNCTION("""COMPUTED_VALUE"""),224.0)</f>
        <v>224</v>
      </c>
      <c r="C392" s="2">
        <f>IFERROR(__xludf.DUMMYFUNCTION("""COMPUTED_VALUE"""),224.8)</f>
        <v>224.8</v>
      </c>
      <c r="D392" s="2">
        <f>IFERROR(__xludf.DUMMYFUNCTION("""COMPUTED_VALUE"""),217.13)</f>
        <v>217.13</v>
      </c>
      <c r="E392" s="2">
        <f>IFERROR(__xludf.DUMMYFUNCTION("""COMPUTED_VALUE"""),218.54)</f>
        <v>218.54</v>
      </c>
      <c r="F392" s="2">
        <f>IFERROR(__xludf.DUMMYFUNCTION("""COMPUTED_VALUE"""),6.1777576E7)</f>
        <v>61777576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IFERROR(__xludf.DUMMYFUNCTION("""COMPUTED_VALUE"""),218.93)</f>
        <v>218.93</v>
      </c>
      <c r="C393" s="2">
        <f>IFERROR(__xludf.DUMMYFUNCTION("""COMPUTED_VALUE"""),220.85)</f>
        <v>220.85</v>
      </c>
      <c r="D393" s="2">
        <f>IFERROR(__xludf.DUMMYFUNCTION("""COMPUTED_VALUE"""),214.62)</f>
        <v>214.62</v>
      </c>
      <c r="E393" s="2">
        <f>IFERROR(__xludf.DUMMYFUNCTION("""COMPUTED_VALUE"""),217.49)</f>
        <v>217.49</v>
      </c>
      <c r="F393" s="2">
        <f>IFERROR(__xludf.DUMMYFUNCTION("""COMPUTED_VALUE"""),5.1391199E7)</f>
        <v>51391199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IFERROR(__xludf.DUMMYFUNCTION("""COMPUTED_VALUE"""),218.7)</f>
        <v>218.7</v>
      </c>
      <c r="C394" s="2">
        <f>IFERROR(__xludf.DUMMYFUNCTION("""COMPUTED_VALUE"""),219.49)</f>
        <v>219.49</v>
      </c>
      <c r="D394" s="2">
        <f>IFERROR(__xludf.DUMMYFUNCTION("""COMPUTED_VALUE"""),216.01)</f>
        <v>216.01</v>
      </c>
      <c r="E394" s="2">
        <f>IFERROR(__xludf.DUMMYFUNCTION("""COMPUTED_VALUE"""),217.96)</f>
        <v>217.96</v>
      </c>
      <c r="F394" s="2">
        <f>IFERROR(__xludf.DUMMYFUNCTION("""COMPUTED_VALUE"""),4.1601345E7)</f>
        <v>41601345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IFERROR(__xludf.DUMMYFUNCTION("""COMPUTED_VALUE"""),216.96)</f>
        <v>216.96</v>
      </c>
      <c r="C395" s="2">
        <f>IFERROR(__xludf.DUMMYFUNCTION("""COMPUTED_VALUE"""),219.3)</f>
        <v>219.3</v>
      </c>
      <c r="D395" s="2">
        <f>IFERROR(__xludf.DUMMYFUNCTION("""COMPUTED_VALUE"""),215.75)</f>
        <v>215.75</v>
      </c>
      <c r="E395" s="2">
        <f>IFERROR(__xludf.DUMMYFUNCTION("""COMPUTED_VALUE"""),218.24)</f>
        <v>218.24</v>
      </c>
      <c r="F395" s="2">
        <f>IFERROR(__xludf.DUMMYFUNCTION("""COMPUTED_VALUE"""),3.6311778E7)</f>
        <v>36311778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IFERROR(__xludf.DUMMYFUNCTION("""COMPUTED_VALUE"""),219.19)</f>
        <v>219.19</v>
      </c>
      <c r="C396" s="2">
        <f>IFERROR(__xludf.DUMMYFUNCTION("""COMPUTED_VALUE"""),220.33)</f>
        <v>220.33</v>
      </c>
      <c r="D396" s="2">
        <f>IFERROR(__xludf.DUMMYFUNCTION("""COMPUTED_VALUE"""),216.12)</f>
        <v>216.12</v>
      </c>
      <c r="E396" s="2">
        <f>IFERROR(__xludf.DUMMYFUNCTION("""COMPUTED_VALUE"""),218.8)</f>
        <v>218.8</v>
      </c>
      <c r="F396" s="2">
        <f>IFERROR(__xludf.DUMMYFUNCTION("""COMPUTED_VALUE"""),4.164384E7)</f>
        <v>41643840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IFERROR(__xludf.DUMMYFUNCTION("""COMPUTED_VALUE"""),221.44)</f>
        <v>221.44</v>
      </c>
      <c r="C397" s="2">
        <f>IFERROR(__xludf.DUMMYFUNCTION("""COMPUTED_VALUE"""),223.82)</f>
        <v>223.82</v>
      </c>
      <c r="D397" s="2">
        <f>IFERROR(__xludf.DUMMYFUNCTION("""COMPUTED_VALUE"""),220.63)</f>
        <v>220.63</v>
      </c>
      <c r="E397" s="2">
        <f>IFERROR(__xludf.DUMMYFUNCTION("""COMPUTED_VALUE"""),222.08)</f>
        <v>222.08</v>
      </c>
      <c r="F397" s="2">
        <f>IFERROR(__xludf.DUMMYFUNCTION("""COMPUTED_VALUE"""),5.0036262E7)</f>
        <v>50036262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IFERROR(__xludf.DUMMYFUNCTION("""COMPUTED_VALUE"""),224.37)</f>
        <v>224.37</v>
      </c>
      <c r="C398" s="2">
        <f>IFERROR(__xludf.DUMMYFUNCTION("""COMPUTED_VALUE"""),224.48)</f>
        <v>224.48</v>
      </c>
      <c r="D398" s="2">
        <f>IFERROR(__xludf.DUMMYFUNCTION("""COMPUTED_VALUE"""),217.02)</f>
        <v>217.02</v>
      </c>
      <c r="E398" s="2">
        <f>IFERROR(__xludf.DUMMYFUNCTION("""COMPUTED_VALUE"""),218.36)</f>
        <v>218.36</v>
      </c>
      <c r="F398" s="2">
        <f>IFERROR(__xludf.DUMMYFUNCTION("""COMPUTED_VALUE"""),6.2500996E7)</f>
        <v>62500996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IFERROR(__xludf.DUMMYFUNCTION("""COMPUTED_VALUE"""),219.15)</f>
        <v>219.15</v>
      </c>
      <c r="C399" s="2">
        <f>IFERROR(__xludf.DUMMYFUNCTION("""COMPUTED_VALUE"""),225.6)</f>
        <v>225.6</v>
      </c>
      <c r="D399" s="2">
        <f>IFERROR(__xludf.DUMMYFUNCTION("""COMPUTED_VALUE"""),217.71)</f>
        <v>217.71</v>
      </c>
      <c r="E399" s="2">
        <f>IFERROR(__xludf.DUMMYFUNCTION("""COMPUTED_VALUE"""),219.86)</f>
        <v>219.86</v>
      </c>
      <c r="F399" s="2">
        <f>IFERROR(__xludf.DUMMYFUNCTION("""COMPUTED_VALUE"""),1.0556856E8)</f>
        <v>105568560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IFERROR(__xludf.DUMMYFUNCTION("""COMPUTED_VALUE"""),199.09)</f>
        <v>199.09</v>
      </c>
      <c r="C400" s="2">
        <f>IFERROR(__xludf.DUMMYFUNCTION("""COMPUTED_VALUE"""),213.5)</f>
        <v>213.5</v>
      </c>
      <c r="D400" s="2">
        <f>IFERROR(__xludf.DUMMYFUNCTION("""COMPUTED_VALUE"""),196.0)</f>
        <v>196</v>
      </c>
      <c r="E400" s="2">
        <f>IFERROR(__xludf.DUMMYFUNCTION("""COMPUTED_VALUE"""),209.27)</f>
        <v>209.27</v>
      </c>
      <c r="F400" s="2">
        <f>IFERROR(__xludf.DUMMYFUNCTION("""COMPUTED_VALUE"""),1.19548589E8)</f>
        <v>119548589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IFERROR(__xludf.DUMMYFUNCTION("""COMPUTED_VALUE"""),205.3)</f>
        <v>205.3</v>
      </c>
      <c r="C401" s="2">
        <f>IFERROR(__xludf.DUMMYFUNCTION("""COMPUTED_VALUE"""),209.99)</f>
        <v>209.99</v>
      </c>
      <c r="D401" s="2">
        <f>IFERROR(__xludf.DUMMYFUNCTION("""COMPUTED_VALUE"""),201.07)</f>
        <v>201.07</v>
      </c>
      <c r="E401" s="2">
        <f>IFERROR(__xludf.DUMMYFUNCTION("""COMPUTED_VALUE"""),207.23)</f>
        <v>207.23</v>
      </c>
      <c r="F401" s="2">
        <f>IFERROR(__xludf.DUMMYFUNCTION("""COMPUTED_VALUE"""),6.9660488E7)</f>
        <v>69660488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IFERROR(__xludf.DUMMYFUNCTION("""COMPUTED_VALUE"""),206.9)</f>
        <v>206.9</v>
      </c>
      <c r="C402" s="2">
        <f>IFERROR(__xludf.DUMMYFUNCTION("""COMPUTED_VALUE"""),213.64)</f>
        <v>213.64</v>
      </c>
      <c r="D402" s="2">
        <f>IFERROR(__xludf.DUMMYFUNCTION("""COMPUTED_VALUE"""),206.39)</f>
        <v>206.39</v>
      </c>
      <c r="E402" s="2">
        <f>IFERROR(__xludf.DUMMYFUNCTION("""COMPUTED_VALUE"""),209.82)</f>
        <v>209.82</v>
      </c>
      <c r="F402" s="2">
        <f>IFERROR(__xludf.DUMMYFUNCTION("""COMPUTED_VALUE"""),6.3516417E7)</f>
        <v>63516417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IFERROR(__xludf.DUMMYFUNCTION("""COMPUTED_VALUE"""),213.11)</f>
        <v>213.11</v>
      </c>
      <c r="C403" s="2">
        <f>IFERROR(__xludf.DUMMYFUNCTION("""COMPUTED_VALUE"""),214.2)</f>
        <v>214.2</v>
      </c>
      <c r="D403" s="2">
        <f>IFERROR(__xludf.DUMMYFUNCTION("""COMPUTED_VALUE"""),208.83)</f>
        <v>208.83</v>
      </c>
      <c r="E403" s="2">
        <f>IFERROR(__xludf.DUMMYFUNCTION("""COMPUTED_VALUE"""),213.31)</f>
        <v>213.31</v>
      </c>
      <c r="F403" s="2">
        <f>IFERROR(__xludf.DUMMYFUNCTION("""COMPUTED_VALUE"""),4.7161149E7)</f>
        <v>47161149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IFERROR(__xludf.DUMMYFUNCTION("""COMPUTED_VALUE"""),212.1)</f>
        <v>212.1</v>
      </c>
      <c r="C404" s="2">
        <f>IFERROR(__xludf.DUMMYFUNCTION("""COMPUTED_VALUE"""),216.78)</f>
        <v>216.78</v>
      </c>
      <c r="D404" s="2">
        <f>IFERROR(__xludf.DUMMYFUNCTION("""COMPUTED_VALUE"""),211.97)</f>
        <v>211.97</v>
      </c>
      <c r="E404" s="2">
        <f>IFERROR(__xludf.DUMMYFUNCTION("""COMPUTED_VALUE"""),216.24)</f>
        <v>216.24</v>
      </c>
      <c r="F404" s="2">
        <f>IFERROR(__xludf.DUMMYFUNCTION("""COMPUTED_VALUE"""),4.2201646E7)</f>
        <v>42201646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IFERROR(__xludf.DUMMYFUNCTION("""COMPUTED_VALUE"""),216.07)</f>
        <v>216.07</v>
      </c>
      <c r="C405" s="2">
        <f>IFERROR(__xludf.DUMMYFUNCTION("""COMPUTED_VALUE"""),219.51)</f>
        <v>219.51</v>
      </c>
      <c r="D405" s="2">
        <f>IFERROR(__xludf.DUMMYFUNCTION("""COMPUTED_VALUE"""),215.6)</f>
        <v>215.6</v>
      </c>
      <c r="E405" s="2">
        <f>IFERROR(__xludf.DUMMYFUNCTION("""COMPUTED_VALUE"""),217.53)</f>
        <v>217.53</v>
      </c>
      <c r="F405" s="2">
        <f>IFERROR(__xludf.DUMMYFUNCTION("""COMPUTED_VALUE"""),3.8028092E7)</f>
        <v>38028092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IFERROR(__xludf.DUMMYFUNCTION("""COMPUTED_VALUE"""),219.01)</f>
        <v>219.01</v>
      </c>
      <c r="C406" s="2">
        <f>IFERROR(__xludf.DUMMYFUNCTION("""COMPUTED_VALUE"""),221.89)</f>
        <v>221.89</v>
      </c>
      <c r="D406" s="2">
        <f>IFERROR(__xludf.DUMMYFUNCTION("""COMPUTED_VALUE"""),219.01)</f>
        <v>219.01</v>
      </c>
      <c r="E406" s="2">
        <f>IFERROR(__xludf.DUMMYFUNCTION("""COMPUTED_VALUE"""),221.27)</f>
        <v>221.27</v>
      </c>
      <c r="F406" s="2">
        <f>IFERROR(__xludf.DUMMYFUNCTION("""COMPUTED_VALUE"""),4.4155331E7)</f>
        <v>44155331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IFERROR(__xludf.DUMMYFUNCTION("""COMPUTED_VALUE"""),220.57)</f>
        <v>220.57</v>
      </c>
      <c r="C407" s="2">
        <f>IFERROR(__xludf.DUMMYFUNCTION("""COMPUTED_VALUE"""),223.03)</f>
        <v>223.03</v>
      </c>
      <c r="D407" s="2">
        <f>IFERROR(__xludf.DUMMYFUNCTION("""COMPUTED_VALUE"""),219.7)</f>
        <v>219.7</v>
      </c>
      <c r="E407" s="2">
        <f>IFERROR(__xludf.DUMMYFUNCTION("""COMPUTED_VALUE"""),221.72)</f>
        <v>221.72</v>
      </c>
      <c r="F407" s="2">
        <f>IFERROR(__xludf.DUMMYFUNCTION("""COMPUTED_VALUE"""),4.1960574E7)</f>
        <v>41960574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IFERROR(__xludf.DUMMYFUNCTION("""COMPUTED_VALUE"""),224.6)</f>
        <v>224.6</v>
      </c>
      <c r="C408" s="2">
        <f>IFERROR(__xludf.DUMMYFUNCTION("""COMPUTED_VALUE"""),225.35)</f>
        <v>225.35</v>
      </c>
      <c r="D408" s="2">
        <f>IFERROR(__xludf.DUMMYFUNCTION("""COMPUTED_VALUE"""),222.76)</f>
        <v>222.76</v>
      </c>
      <c r="E408" s="2">
        <f>IFERROR(__xludf.DUMMYFUNCTION("""COMPUTED_VALUE"""),224.72)</f>
        <v>224.72</v>
      </c>
      <c r="F408" s="2">
        <f>IFERROR(__xludf.DUMMYFUNCTION("""COMPUTED_VALUE"""),4.6414013E7)</f>
        <v>46414013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IFERROR(__xludf.DUMMYFUNCTION("""COMPUTED_VALUE"""),223.92)</f>
        <v>223.92</v>
      </c>
      <c r="C409" s="2">
        <f>IFERROR(__xludf.DUMMYFUNCTION("""COMPUTED_VALUE"""),226.83)</f>
        <v>226.83</v>
      </c>
      <c r="D409" s="2">
        <f>IFERROR(__xludf.DUMMYFUNCTION("""COMPUTED_VALUE"""),223.65)</f>
        <v>223.65</v>
      </c>
      <c r="E409" s="2">
        <f>IFERROR(__xludf.DUMMYFUNCTION("""COMPUTED_VALUE"""),226.05)</f>
        <v>226.05</v>
      </c>
      <c r="F409" s="2">
        <f>IFERROR(__xludf.DUMMYFUNCTION("""COMPUTED_VALUE"""),4.434024E7)</f>
        <v>44340240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IFERROR(__xludf.DUMMYFUNCTION("""COMPUTED_VALUE"""),225.72)</f>
        <v>225.72</v>
      </c>
      <c r="C410" s="2">
        <f>IFERROR(__xludf.DUMMYFUNCTION("""COMPUTED_VALUE"""),225.99)</f>
        <v>225.99</v>
      </c>
      <c r="D410" s="2">
        <f>IFERROR(__xludf.DUMMYFUNCTION("""COMPUTED_VALUE"""),223.04)</f>
        <v>223.04</v>
      </c>
      <c r="E410" s="2">
        <f>IFERROR(__xludf.DUMMYFUNCTION("""COMPUTED_VALUE"""),225.89)</f>
        <v>225.89</v>
      </c>
      <c r="F410" s="2">
        <f>IFERROR(__xludf.DUMMYFUNCTION("""COMPUTED_VALUE"""),4.0687813E7)</f>
        <v>40687813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IFERROR(__xludf.DUMMYFUNCTION("""COMPUTED_VALUE"""),225.77)</f>
        <v>225.77</v>
      </c>
      <c r="C411" s="2">
        <f>IFERROR(__xludf.DUMMYFUNCTION("""COMPUTED_VALUE"""),227.17)</f>
        <v>227.17</v>
      </c>
      <c r="D411" s="2">
        <f>IFERROR(__xludf.DUMMYFUNCTION("""COMPUTED_VALUE"""),225.45)</f>
        <v>225.45</v>
      </c>
      <c r="E411" s="2">
        <f>IFERROR(__xludf.DUMMYFUNCTION("""COMPUTED_VALUE"""),226.51)</f>
        <v>226.51</v>
      </c>
      <c r="F411" s="2">
        <f>IFERROR(__xludf.DUMMYFUNCTION("""COMPUTED_VALUE"""),3.0299033E7)</f>
        <v>30299033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IFERROR(__xludf.DUMMYFUNCTION("""COMPUTED_VALUE"""),226.52)</f>
        <v>226.52</v>
      </c>
      <c r="C412" s="2">
        <f>IFERROR(__xludf.DUMMYFUNCTION("""COMPUTED_VALUE"""),227.98)</f>
        <v>227.98</v>
      </c>
      <c r="D412" s="2">
        <f>IFERROR(__xludf.DUMMYFUNCTION("""COMPUTED_VALUE"""),225.05)</f>
        <v>225.05</v>
      </c>
      <c r="E412" s="2">
        <f>IFERROR(__xludf.DUMMYFUNCTION("""COMPUTED_VALUE"""),226.4)</f>
        <v>226.4</v>
      </c>
      <c r="F412" s="2">
        <f>IFERROR(__xludf.DUMMYFUNCTION("""COMPUTED_VALUE"""),3.476548E7)</f>
        <v>34765480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IFERROR(__xludf.DUMMYFUNCTION("""COMPUTED_VALUE"""),227.79)</f>
        <v>227.79</v>
      </c>
      <c r="C413" s="2">
        <f>IFERROR(__xludf.DUMMYFUNCTION("""COMPUTED_VALUE"""),228.34)</f>
        <v>228.34</v>
      </c>
      <c r="D413" s="2">
        <f>IFERROR(__xludf.DUMMYFUNCTION("""COMPUTED_VALUE"""),223.9)</f>
        <v>223.9</v>
      </c>
      <c r="E413" s="2">
        <f>IFERROR(__xludf.DUMMYFUNCTION("""COMPUTED_VALUE"""),224.53)</f>
        <v>224.53</v>
      </c>
      <c r="F413" s="2">
        <f>IFERROR(__xludf.DUMMYFUNCTION("""COMPUTED_VALUE"""),4.3695321E7)</f>
        <v>43695321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IFERROR(__xludf.DUMMYFUNCTION("""COMPUTED_VALUE"""),225.66)</f>
        <v>225.66</v>
      </c>
      <c r="C414" s="2">
        <f>IFERROR(__xludf.DUMMYFUNCTION("""COMPUTED_VALUE"""),228.22)</f>
        <v>228.22</v>
      </c>
      <c r="D414" s="2">
        <f>IFERROR(__xludf.DUMMYFUNCTION("""COMPUTED_VALUE"""),224.33)</f>
        <v>224.33</v>
      </c>
      <c r="E414" s="2">
        <f>IFERROR(__xludf.DUMMYFUNCTION("""COMPUTED_VALUE"""),226.84)</f>
        <v>226.84</v>
      </c>
      <c r="F414" s="2">
        <f>IFERROR(__xludf.DUMMYFUNCTION("""COMPUTED_VALUE"""),3.867725E7)</f>
        <v>38677250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IFERROR(__xludf.DUMMYFUNCTION("""COMPUTED_VALUE"""),226.76)</f>
        <v>226.76</v>
      </c>
      <c r="C415" s="2">
        <f>IFERROR(__xludf.DUMMYFUNCTION("""COMPUTED_VALUE"""),227.28)</f>
        <v>227.28</v>
      </c>
      <c r="D415" s="2">
        <f>IFERROR(__xludf.DUMMYFUNCTION("""COMPUTED_VALUE"""),223.89)</f>
        <v>223.89</v>
      </c>
      <c r="E415" s="2">
        <f>IFERROR(__xludf.DUMMYFUNCTION("""COMPUTED_VALUE"""),227.18)</f>
        <v>227.18</v>
      </c>
      <c r="F415" s="2">
        <f>IFERROR(__xludf.DUMMYFUNCTION("""COMPUTED_VALUE"""),3.0602208E7)</f>
        <v>30602208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IFERROR(__xludf.DUMMYFUNCTION("""COMPUTED_VALUE"""),226.0)</f>
        <v>226</v>
      </c>
      <c r="C416" s="2">
        <f>IFERROR(__xludf.DUMMYFUNCTION("""COMPUTED_VALUE"""),228.85)</f>
        <v>228.85</v>
      </c>
      <c r="D416" s="2">
        <f>IFERROR(__xludf.DUMMYFUNCTION("""COMPUTED_VALUE"""),224.89)</f>
        <v>224.89</v>
      </c>
      <c r="E416" s="2">
        <f>IFERROR(__xludf.DUMMYFUNCTION("""COMPUTED_VALUE"""),228.03)</f>
        <v>228.03</v>
      </c>
      <c r="F416" s="2">
        <f>IFERROR(__xludf.DUMMYFUNCTION("""COMPUTED_VALUE"""),3.5934559E7)</f>
        <v>35934559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IFERROR(__xludf.DUMMYFUNCTION("""COMPUTED_VALUE"""),227.92)</f>
        <v>227.92</v>
      </c>
      <c r="C417" s="2">
        <f>IFERROR(__xludf.DUMMYFUNCTION("""COMPUTED_VALUE"""),229.86)</f>
        <v>229.86</v>
      </c>
      <c r="D417" s="2">
        <f>IFERROR(__xludf.DUMMYFUNCTION("""COMPUTED_VALUE"""),225.68)</f>
        <v>225.68</v>
      </c>
      <c r="E417" s="2">
        <f>IFERROR(__xludf.DUMMYFUNCTION("""COMPUTED_VALUE"""),226.49)</f>
        <v>226.49</v>
      </c>
      <c r="F417" s="2">
        <f>IFERROR(__xludf.DUMMYFUNCTION("""COMPUTED_VALUE"""),3.8052167E7)</f>
        <v>38052167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IFERROR(__xludf.DUMMYFUNCTION("""COMPUTED_VALUE"""),230.1)</f>
        <v>230.1</v>
      </c>
      <c r="C418" s="2">
        <f>IFERROR(__xludf.DUMMYFUNCTION("""COMPUTED_VALUE"""),232.92)</f>
        <v>232.92</v>
      </c>
      <c r="D418" s="2">
        <f>IFERROR(__xludf.DUMMYFUNCTION("""COMPUTED_VALUE"""),228.88)</f>
        <v>228.88</v>
      </c>
      <c r="E418" s="2">
        <f>IFERROR(__xludf.DUMMYFUNCTION("""COMPUTED_VALUE"""),229.79)</f>
        <v>229.79</v>
      </c>
      <c r="F418" s="2">
        <f>IFERROR(__xludf.DUMMYFUNCTION("""COMPUTED_VALUE"""),5.1906297E7)</f>
        <v>51906297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IFERROR(__xludf.DUMMYFUNCTION("""COMPUTED_VALUE"""),230.19)</f>
        <v>230.19</v>
      </c>
      <c r="C419" s="2">
        <f>IFERROR(__xludf.DUMMYFUNCTION("""COMPUTED_VALUE"""),230.4)</f>
        <v>230.4</v>
      </c>
      <c r="D419" s="2">
        <f>IFERROR(__xludf.DUMMYFUNCTION("""COMPUTED_VALUE"""),227.48)</f>
        <v>227.48</v>
      </c>
      <c r="E419" s="2">
        <f>IFERROR(__xludf.DUMMYFUNCTION("""COMPUTED_VALUE"""),229.0)</f>
        <v>229</v>
      </c>
      <c r="F419" s="2">
        <f>IFERROR(__xludf.DUMMYFUNCTION("""COMPUTED_VALUE"""),5.299077E7)</f>
        <v>52990770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IFERROR(__xludf.DUMMYFUNCTION("""COMPUTED_VALUE"""),228.55)</f>
        <v>228.55</v>
      </c>
      <c r="C420" s="2">
        <f>IFERROR(__xludf.DUMMYFUNCTION("""COMPUTED_VALUE"""),229.0)</f>
        <v>229</v>
      </c>
      <c r="D420" s="2">
        <f>IFERROR(__xludf.DUMMYFUNCTION("""COMPUTED_VALUE"""),221.17)</f>
        <v>221.17</v>
      </c>
      <c r="E420" s="2">
        <f>IFERROR(__xludf.DUMMYFUNCTION("""COMPUTED_VALUE"""),222.77)</f>
        <v>222.77</v>
      </c>
      <c r="F420" s="2">
        <f>IFERROR(__xludf.DUMMYFUNCTION("""COMPUTED_VALUE"""),5.0190574E7)</f>
        <v>50190574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IFERROR(__xludf.DUMMYFUNCTION("""COMPUTED_VALUE"""),221.66)</f>
        <v>221.66</v>
      </c>
      <c r="C421" s="2">
        <f>IFERROR(__xludf.DUMMYFUNCTION("""COMPUTED_VALUE"""),221.78)</f>
        <v>221.78</v>
      </c>
      <c r="D421" s="2">
        <f>IFERROR(__xludf.DUMMYFUNCTION("""COMPUTED_VALUE"""),217.48)</f>
        <v>217.48</v>
      </c>
      <c r="E421" s="2">
        <f>IFERROR(__xludf.DUMMYFUNCTION("""COMPUTED_VALUE"""),220.85)</f>
        <v>220.85</v>
      </c>
      <c r="F421" s="2">
        <f>IFERROR(__xludf.DUMMYFUNCTION("""COMPUTED_VALUE"""),4.3840196E7)</f>
        <v>43840196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IFERROR(__xludf.DUMMYFUNCTION("""COMPUTED_VALUE"""),221.63)</f>
        <v>221.63</v>
      </c>
      <c r="C422" s="2">
        <f>IFERROR(__xludf.DUMMYFUNCTION("""COMPUTED_VALUE"""),225.48)</f>
        <v>225.48</v>
      </c>
      <c r="D422" s="2">
        <f>IFERROR(__xludf.DUMMYFUNCTION("""COMPUTED_VALUE"""),221.52)</f>
        <v>221.52</v>
      </c>
      <c r="E422" s="2">
        <f>IFERROR(__xludf.DUMMYFUNCTION("""COMPUTED_VALUE"""),222.38)</f>
        <v>222.38</v>
      </c>
      <c r="F422" s="2">
        <f>IFERROR(__xludf.DUMMYFUNCTION("""COMPUTED_VALUE"""),3.6615398E7)</f>
        <v>36615398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IFERROR(__xludf.DUMMYFUNCTION("""COMPUTED_VALUE"""),223.95)</f>
        <v>223.95</v>
      </c>
      <c r="C423" s="2">
        <f>IFERROR(__xludf.DUMMYFUNCTION("""COMPUTED_VALUE"""),225.24)</f>
        <v>225.24</v>
      </c>
      <c r="D423" s="2">
        <f>IFERROR(__xludf.DUMMYFUNCTION("""COMPUTED_VALUE"""),219.77)</f>
        <v>219.77</v>
      </c>
      <c r="E423" s="2">
        <f>IFERROR(__xludf.DUMMYFUNCTION("""COMPUTED_VALUE"""),220.82)</f>
        <v>220.82</v>
      </c>
      <c r="F423" s="2">
        <f>IFERROR(__xludf.DUMMYFUNCTION("""COMPUTED_VALUE"""),4.8423011E7)</f>
        <v>48423011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IFERROR(__xludf.DUMMYFUNCTION("""COMPUTED_VALUE"""),220.82)</f>
        <v>220.82</v>
      </c>
      <c r="C424" s="2">
        <f>IFERROR(__xludf.DUMMYFUNCTION("""COMPUTED_VALUE"""),221.27)</f>
        <v>221.27</v>
      </c>
      <c r="D424" s="2">
        <f>IFERROR(__xludf.DUMMYFUNCTION("""COMPUTED_VALUE"""),216.71)</f>
        <v>216.71</v>
      </c>
      <c r="E424" s="2">
        <f>IFERROR(__xludf.DUMMYFUNCTION("""COMPUTED_VALUE"""),220.91)</f>
        <v>220.91</v>
      </c>
      <c r="F424" s="2">
        <f>IFERROR(__xludf.DUMMYFUNCTION("""COMPUTED_VALUE"""),6.7179965E7)</f>
        <v>67179965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IFERROR(__xludf.DUMMYFUNCTION("""COMPUTED_VALUE"""),218.92)</f>
        <v>218.92</v>
      </c>
      <c r="C425" s="2">
        <f>IFERROR(__xludf.DUMMYFUNCTION("""COMPUTED_VALUE"""),221.48)</f>
        <v>221.48</v>
      </c>
      <c r="D425" s="2">
        <f>IFERROR(__xludf.DUMMYFUNCTION("""COMPUTED_VALUE"""),216.73)</f>
        <v>216.73</v>
      </c>
      <c r="E425" s="2">
        <f>IFERROR(__xludf.DUMMYFUNCTION("""COMPUTED_VALUE"""),220.11)</f>
        <v>220.11</v>
      </c>
      <c r="F425" s="2">
        <f>IFERROR(__xludf.DUMMYFUNCTION("""COMPUTED_VALUE"""),5.1591033E7)</f>
        <v>51591033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IFERROR(__xludf.DUMMYFUNCTION("""COMPUTED_VALUE"""),221.46)</f>
        <v>221.46</v>
      </c>
      <c r="C426" s="2">
        <f>IFERROR(__xludf.DUMMYFUNCTION("""COMPUTED_VALUE"""),223.09)</f>
        <v>223.09</v>
      </c>
      <c r="D426" s="2">
        <f>IFERROR(__xludf.DUMMYFUNCTION("""COMPUTED_VALUE"""),217.89)</f>
        <v>217.89</v>
      </c>
      <c r="E426" s="2">
        <f>IFERROR(__xludf.DUMMYFUNCTION("""COMPUTED_VALUE"""),222.66)</f>
        <v>222.66</v>
      </c>
      <c r="F426" s="2">
        <f>IFERROR(__xludf.DUMMYFUNCTION("""COMPUTED_VALUE"""),4.4587072E7)</f>
        <v>44587072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IFERROR(__xludf.DUMMYFUNCTION("""COMPUTED_VALUE"""),222.5)</f>
        <v>222.5</v>
      </c>
      <c r="C427" s="2">
        <f>IFERROR(__xludf.DUMMYFUNCTION("""COMPUTED_VALUE"""),223.55)</f>
        <v>223.55</v>
      </c>
      <c r="D427" s="2">
        <f>IFERROR(__xludf.DUMMYFUNCTION("""COMPUTED_VALUE"""),219.82)</f>
        <v>219.82</v>
      </c>
      <c r="E427" s="2">
        <f>IFERROR(__xludf.DUMMYFUNCTION("""COMPUTED_VALUE"""),222.77)</f>
        <v>222.77</v>
      </c>
      <c r="F427" s="2">
        <f>IFERROR(__xludf.DUMMYFUNCTION("""COMPUTED_VALUE"""),3.7498225E7)</f>
        <v>37498225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IFERROR(__xludf.DUMMYFUNCTION("""COMPUTED_VALUE"""),223.58)</f>
        <v>223.58</v>
      </c>
      <c r="C428" s="2">
        <f>IFERROR(__xludf.DUMMYFUNCTION("""COMPUTED_VALUE"""),224.04)</f>
        <v>224.04</v>
      </c>
      <c r="D428" s="2">
        <f>IFERROR(__xludf.DUMMYFUNCTION("""COMPUTED_VALUE"""),221.91)</f>
        <v>221.91</v>
      </c>
      <c r="E428" s="2">
        <f>IFERROR(__xludf.DUMMYFUNCTION("""COMPUTED_VALUE"""),222.5)</f>
        <v>222.5</v>
      </c>
      <c r="F428" s="2">
        <f>IFERROR(__xludf.DUMMYFUNCTION("""COMPUTED_VALUE"""),3.6766619E7)</f>
        <v>36766619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IFERROR(__xludf.DUMMYFUNCTION("""COMPUTED_VALUE"""),216.54)</f>
        <v>216.54</v>
      </c>
      <c r="C429" s="2">
        <f>IFERROR(__xludf.DUMMYFUNCTION("""COMPUTED_VALUE"""),217.22)</f>
        <v>217.22</v>
      </c>
      <c r="D429" s="2">
        <f>IFERROR(__xludf.DUMMYFUNCTION("""COMPUTED_VALUE"""),213.92)</f>
        <v>213.92</v>
      </c>
      <c r="E429" s="2">
        <f>IFERROR(__xludf.DUMMYFUNCTION("""COMPUTED_VALUE"""),216.32)</f>
        <v>216.32</v>
      </c>
      <c r="F429" s="2">
        <f>IFERROR(__xludf.DUMMYFUNCTION("""COMPUTED_VALUE"""),5.9357427E7)</f>
        <v>59357427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IFERROR(__xludf.DUMMYFUNCTION("""COMPUTED_VALUE"""),215.75)</f>
        <v>215.75</v>
      </c>
      <c r="C430" s="2">
        <f>IFERROR(__xludf.DUMMYFUNCTION("""COMPUTED_VALUE"""),216.9)</f>
        <v>216.9</v>
      </c>
      <c r="D430" s="2">
        <f>IFERROR(__xludf.DUMMYFUNCTION("""COMPUTED_VALUE"""),214.5)</f>
        <v>214.5</v>
      </c>
      <c r="E430" s="2">
        <f>IFERROR(__xludf.DUMMYFUNCTION("""COMPUTED_VALUE"""),216.79)</f>
        <v>216.79</v>
      </c>
      <c r="F430" s="2">
        <f>IFERROR(__xludf.DUMMYFUNCTION("""COMPUTED_VALUE"""),4.5519339E7)</f>
        <v>45519339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IFERROR(__xludf.DUMMYFUNCTION("""COMPUTED_VALUE"""),217.55)</f>
        <v>217.55</v>
      </c>
      <c r="C431" s="2">
        <f>IFERROR(__xludf.DUMMYFUNCTION("""COMPUTED_VALUE"""),222.71)</f>
        <v>222.71</v>
      </c>
      <c r="D431" s="2">
        <f>IFERROR(__xludf.DUMMYFUNCTION("""COMPUTED_VALUE"""),217.54)</f>
        <v>217.54</v>
      </c>
      <c r="E431" s="2">
        <f>IFERROR(__xludf.DUMMYFUNCTION("""COMPUTED_VALUE"""),220.69)</f>
        <v>220.69</v>
      </c>
      <c r="F431" s="2">
        <f>IFERROR(__xludf.DUMMYFUNCTION("""COMPUTED_VALUE"""),5.9894928E7)</f>
        <v>59894928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IFERROR(__xludf.DUMMYFUNCTION("""COMPUTED_VALUE"""),224.99)</f>
        <v>224.99</v>
      </c>
      <c r="C432" s="2">
        <f>IFERROR(__xludf.DUMMYFUNCTION("""COMPUTED_VALUE"""),229.82)</f>
        <v>229.82</v>
      </c>
      <c r="D432" s="2">
        <f>IFERROR(__xludf.DUMMYFUNCTION("""COMPUTED_VALUE"""),224.63)</f>
        <v>224.63</v>
      </c>
      <c r="E432" s="2">
        <f>IFERROR(__xludf.DUMMYFUNCTION("""COMPUTED_VALUE"""),228.87)</f>
        <v>228.87</v>
      </c>
      <c r="F432" s="2">
        <f>IFERROR(__xludf.DUMMYFUNCTION("""COMPUTED_VALUE"""),6.6781315E7)</f>
        <v>66781315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IFERROR(__xludf.DUMMYFUNCTION("""COMPUTED_VALUE"""),229.97)</f>
        <v>229.97</v>
      </c>
      <c r="C433" s="2">
        <f>IFERROR(__xludf.DUMMYFUNCTION("""COMPUTED_VALUE"""),233.09)</f>
        <v>233.09</v>
      </c>
      <c r="D433" s="2">
        <f>IFERROR(__xludf.DUMMYFUNCTION("""COMPUTED_VALUE"""),227.62)</f>
        <v>227.62</v>
      </c>
      <c r="E433" s="2">
        <f>IFERROR(__xludf.DUMMYFUNCTION("""COMPUTED_VALUE"""),228.2)</f>
        <v>228.2</v>
      </c>
      <c r="F433" s="2">
        <f>IFERROR(__xludf.DUMMYFUNCTION("""COMPUTED_VALUE"""),3.18679888E8)</f>
        <v>318679888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IFERROR(__xludf.DUMMYFUNCTION("""COMPUTED_VALUE"""),227.34)</f>
        <v>227.34</v>
      </c>
      <c r="C434" s="2">
        <f>IFERROR(__xludf.DUMMYFUNCTION("""COMPUTED_VALUE"""),229.45)</f>
        <v>229.45</v>
      </c>
      <c r="D434" s="2">
        <f>IFERROR(__xludf.DUMMYFUNCTION("""COMPUTED_VALUE"""),225.81)</f>
        <v>225.81</v>
      </c>
      <c r="E434" s="2">
        <f>IFERROR(__xludf.DUMMYFUNCTION("""COMPUTED_VALUE"""),226.47)</f>
        <v>226.47</v>
      </c>
      <c r="F434" s="2">
        <f>IFERROR(__xludf.DUMMYFUNCTION("""COMPUTED_VALUE"""),5.4146023E7)</f>
        <v>54146023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IFERROR(__xludf.DUMMYFUNCTION("""COMPUTED_VALUE"""),228.65)</f>
        <v>228.65</v>
      </c>
      <c r="C435" s="2">
        <f>IFERROR(__xludf.DUMMYFUNCTION("""COMPUTED_VALUE"""),229.35)</f>
        <v>229.35</v>
      </c>
      <c r="D435" s="2">
        <f>IFERROR(__xludf.DUMMYFUNCTION("""COMPUTED_VALUE"""),225.73)</f>
        <v>225.73</v>
      </c>
      <c r="E435" s="2">
        <f>IFERROR(__xludf.DUMMYFUNCTION("""COMPUTED_VALUE"""),227.37)</f>
        <v>227.37</v>
      </c>
      <c r="F435" s="2">
        <f>IFERROR(__xludf.DUMMYFUNCTION("""COMPUTED_VALUE"""),4.3556068E7)</f>
        <v>43556068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IFERROR(__xludf.DUMMYFUNCTION("""COMPUTED_VALUE"""),224.93)</f>
        <v>224.93</v>
      </c>
      <c r="C436" s="2">
        <f>IFERROR(__xludf.DUMMYFUNCTION("""COMPUTED_VALUE"""),227.29)</f>
        <v>227.29</v>
      </c>
      <c r="D436" s="2">
        <f>IFERROR(__xludf.DUMMYFUNCTION("""COMPUTED_VALUE"""),224.02)</f>
        <v>224.02</v>
      </c>
      <c r="E436" s="2">
        <f>IFERROR(__xludf.DUMMYFUNCTION("""COMPUTED_VALUE"""),226.37)</f>
        <v>226.37</v>
      </c>
      <c r="F436" s="2">
        <f>IFERROR(__xludf.DUMMYFUNCTION("""COMPUTED_VALUE"""),4.2308715E7)</f>
        <v>42308715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IFERROR(__xludf.DUMMYFUNCTION("""COMPUTED_VALUE"""),227.3)</f>
        <v>227.3</v>
      </c>
      <c r="C437" s="2">
        <f>IFERROR(__xludf.DUMMYFUNCTION("""COMPUTED_VALUE"""),228.5)</f>
        <v>228.5</v>
      </c>
      <c r="D437" s="2">
        <f>IFERROR(__xludf.DUMMYFUNCTION("""COMPUTED_VALUE"""),225.41)</f>
        <v>225.41</v>
      </c>
      <c r="E437" s="2">
        <f>IFERROR(__xludf.DUMMYFUNCTION("""COMPUTED_VALUE"""),227.52)</f>
        <v>227.52</v>
      </c>
      <c r="F437" s="2">
        <f>IFERROR(__xludf.DUMMYFUNCTION("""COMPUTED_VALUE"""),3.6636707E7)</f>
        <v>36636707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IFERROR(__xludf.DUMMYFUNCTION("""COMPUTED_VALUE"""),228.46)</f>
        <v>228.46</v>
      </c>
      <c r="C438" s="2">
        <f>IFERROR(__xludf.DUMMYFUNCTION("""COMPUTED_VALUE"""),229.52)</f>
        <v>229.52</v>
      </c>
      <c r="D438" s="2">
        <f>IFERROR(__xludf.DUMMYFUNCTION("""COMPUTED_VALUE"""),227.3)</f>
        <v>227.3</v>
      </c>
      <c r="E438" s="2">
        <f>IFERROR(__xludf.DUMMYFUNCTION("""COMPUTED_VALUE"""),227.79)</f>
        <v>227.79</v>
      </c>
      <c r="F438" s="2">
        <f>IFERROR(__xludf.DUMMYFUNCTION("""COMPUTED_VALUE"""),3.4025967E7)</f>
        <v>34025967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IFERROR(__xludf.DUMMYFUNCTION("""COMPUTED_VALUE"""),230.04)</f>
        <v>230.04</v>
      </c>
      <c r="C439" s="2">
        <f>IFERROR(__xludf.DUMMYFUNCTION("""COMPUTED_VALUE"""),233.0)</f>
        <v>233</v>
      </c>
      <c r="D439" s="2">
        <f>IFERROR(__xludf.DUMMYFUNCTION("""COMPUTED_VALUE"""),229.65)</f>
        <v>229.65</v>
      </c>
      <c r="E439" s="2">
        <f>IFERROR(__xludf.DUMMYFUNCTION("""COMPUTED_VALUE"""),233.0)</f>
        <v>233</v>
      </c>
      <c r="F439" s="2">
        <f>IFERROR(__xludf.DUMMYFUNCTION("""COMPUTED_VALUE"""),5.4793391E7)</f>
        <v>54793391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IFERROR(__xludf.DUMMYFUNCTION("""COMPUTED_VALUE"""),229.52)</f>
        <v>229.52</v>
      </c>
      <c r="C440" s="2">
        <f>IFERROR(__xludf.DUMMYFUNCTION("""COMPUTED_VALUE"""),229.65)</f>
        <v>229.65</v>
      </c>
      <c r="D440" s="2">
        <f>IFERROR(__xludf.DUMMYFUNCTION("""COMPUTED_VALUE"""),223.74)</f>
        <v>223.74</v>
      </c>
      <c r="E440" s="2">
        <f>IFERROR(__xludf.DUMMYFUNCTION("""COMPUTED_VALUE"""),226.21)</f>
        <v>226.21</v>
      </c>
      <c r="F440" s="2">
        <f>IFERROR(__xludf.DUMMYFUNCTION("""COMPUTED_VALUE"""),6.3285048E7)</f>
        <v>63285048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IFERROR(__xludf.DUMMYFUNCTION("""COMPUTED_VALUE"""),225.89)</f>
        <v>225.89</v>
      </c>
      <c r="C441" s="2">
        <f>IFERROR(__xludf.DUMMYFUNCTION("""COMPUTED_VALUE"""),227.37)</f>
        <v>227.37</v>
      </c>
      <c r="D441" s="2">
        <f>IFERROR(__xludf.DUMMYFUNCTION("""COMPUTED_VALUE"""),223.02)</f>
        <v>223.02</v>
      </c>
      <c r="E441" s="2">
        <f>IFERROR(__xludf.DUMMYFUNCTION("""COMPUTED_VALUE"""),226.78)</f>
        <v>226.78</v>
      </c>
      <c r="F441" s="2">
        <f>IFERROR(__xludf.DUMMYFUNCTION("""COMPUTED_VALUE"""),3.2880605E7)</f>
        <v>32880605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IFERROR(__xludf.DUMMYFUNCTION("""COMPUTED_VALUE"""),225.14)</f>
        <v>225.14</v>
      </c>
      <c r="C442" s="2">
        <f>IFERROR(__xludf.DUMMYFUNCTION("""COMPUTED_VALUE"""),226.81)</f>
        <v>226.81</v>
      </c>
      <c r="D442" s="2">
        <f>IFERROR(__xludf.DUMMYFUNCTION("""COMPUTED_VALUE"""),223.32)</f>
        <v>223.32</v>
      </c>
      <c r="E442" s="2">
        <f>IFERROR(__xludf.DUMMYFUNCTION("""COMPUTED_VALUE"""),225.67)</f>
        <v>225.67</v>
      </c>
      <c r="F442" s="2">
        <f>IFERROR(__xludf.DUMMYFUNCTION("""COMPUTED_VALUE"""),3.4044158E7)</f>
        <v>34044158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IFERROR(__xludf.DUMMYFUNCTION("""COMPUTED_VALUE"""),227.9)</f>
        <v>227.9</v>
      </c>
      <c r="C443" s="2">
        <f>IFERROR(__xludf.DUMMYFUNCTION("""COMPUTED_VALUE"""),228.0)</f>
        <v>228</v>
      </c>
      <c r="D443" s="2">
        <f>IFERROR(__xludf.DUMMYFUNCTION("""COMPUTED_VALUE"""),224.13)</f>
        <v>224.13</v>
      </c>
      <c r="E443" s="2">
        <f>IFERROR(__xludf.DUMMYFUNCTION("""COMPUTED_VALUE"""),226.8)</f>
        <v>226.8</v>
      </c>
      <c r="F443" s="2">
        <f>IFERROR(__xludf.DUMMYFUNCTION("""COMPUTED_VALUE"""),3.7345098E7)</f>
        <v>37345098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IFERROR(__xludf.DUMMYFUNCTION("""COMPUTED_VALUE"""),224.5)</f>
        <v>224.5</v>
      </c>
      <c r="C444" s="2">
        <f>IFERROR(__xludf.DUMMYFUNCTION("""COMPUTED_VALUE"""),225.69)</f>
        <v>225.69</v>
      </c>
      <c r="D444" s="2">
        <f>IFERROR(__xludf.DUMMYFUNCTION("""COMPUTED_VALUE"""),221.33)</f>
        <v>221.33</v>
      </c>
      <c r="E444" s="2">
        <f>IFERROR(__xludf.DUMMYFUNCTION("""COMPUTED_VALUE"""),221.69)</f>
        <v>221.69</v>
      </c>
      <c r="F444" s="2">
        <f>IFERROR(__xludf.DUMMYFUNCTION("""COMPUTED_VALUE"""),3.9505354E7)</f>
        <v>39505354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IFERROR(__xludf.DUMMYFUNCTION("""COMPUTED_VALUE"""),224.3)</f>
        <v>224.3</v>
      </c>
      <c r="C445" s="2">
        <f>IFERROR(__xludf.DUMMYFUNCTION("""COMPUTED_VALUE"""),225.98)</f>
        <v>225.98</v>
      </c>
      <c r="D445" s="2">
        <f>IFERROR(__xludf.DUMMYFUNCTION("""COMPUTED_VALUE"""),223.25)</f>
        <v>223.25</v>
      </c>
      <c r="E445" s="2">
        <f>IFERROR(__xludf.DUMMYFUNCTION("""COMPUTED_VALUE"""),225.77)</f>
        <v>225.77</v>
      </c>
      <c r="F445" s="2">
        <f>IFERROR(__xludf.DUMMYFUNCTION("""COMPUTED_VALUE"""),3.1855693E7)</f>
        <v>31855693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IFERROR(__xludf.DUMMYFUNCTION("""COMPUTED_VALUE"""),225.23)</f>
        <v>225.23</v>
      </c>
      <c r="C446" s="2">
        <f>IFERROR(__xludf.DUMMYFUNCTION("""COMPUTED_VALUE"""),229.75)</f>
        <v>229.75</v>
      </c>
      <c r="D446" s="2">
        <f>IFERROR(__xludf.DUMMYFUNCTION("""COMPUTED_VALUE"""),224.83)</f>
        <v>224.83</v>
      </c>
      <c r="E446" s="2">
        <f>IFERROR(__xludf.DUMMYFUNCTION("""COMPUTED_VALUE"""),229.54)</f>
        <v>229.54</v>
      </c>
      <c r="F446" s="2">
        <f>IFERROR(__xludf.DUMMYFUNCTION("""COMPUTED_VALUE"""),3.3591091E7)</f>
        <v>33591091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IFERROR(__xludf.DUMMYFUNCTION("""COMPUTED_VALUE"""),227.78)</f>
        <v>227.78</v>
      </c>
      <c r="C447" s="2">
        <f>IFERROR(__xludf.DUMMYFUNCTION("""COMPUTED_VALUE"""),229.5)</f>
        <v>229.5</v>
      </c>
      <c r="D447" s="2">
        <f>IFERROR(__xludf.DUMMYFUNCTION("""COMPUTED_VALUE"""),227.17)</f>
        <v>227.17</v>
      </c>
      <c r="E447" s="2">
        <f>IFERROR(__xludf.DUMMYFUNCTION("""COMPUTED_VALUE"""),229.04)</f>
        <v>229.04</v>
      </c>
      <c r="F447" s="2">
        <f>IFERROR(__xludf.DUMMYFUNCTION("""COMPUTED_VALUE"""),2.8183544E7)</f>
        <v>28183544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IFERROR(__xludf.DUMMYFUNCTION("""COMPUTED_VALUE"""),229.3)</f>
        <v>229.3</v>
      </c>
      <c r="C448" s="2">
        <f>IFERROR(__xludf.DUMMYFUNCTION("""COMPUTED_VALUE"""),229.41)</f>
        <v>229.41</v>
      </c>
      <c r="D448" s="2">
        <f>IFERROR(__xludf.DUMMYFUNCTION("""COMPUTED_VALUE"""),227.34)</f>
        <v>227.34</v>
      </c>
      <c r="E448" s="2">
        <f>IFERROR(__xludf.DUMMYFUNCTION("""COMPUTED_VALUE"""),227.55)</f>
        <v>227.55</v>
      </c>
      <c r="F448" s="2">
        <f>IFERROR(__xludf.DUMMYFUNCTION("""COMPUTED_VALUE"""),3.1759188E7)</f>
        <v>31759188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IFERROR(__xludf.DUMMYFUNCTION("""COMPUTED_VALUE"""),228.7)</f>
        <v>228.7</v>
      </c>
      <c r="C449" s="2">
        <f>IFERROR(__xludf.DUMMYFUNCTION("""COMPUTED_VALUE"""),231.73)</f>
        <v>231.73</v>
      </c>
      <c r="D449" s="2">
        <f>IFERROR(__xludf.DUMMYFUNCTION("""COMPUTED_VALUE"""),228.6)</f>
        <v>228.6</v>
      </c>
      <c r="E449" s="2">
        <f>IFERROR(__xludf.DUMMYFUNCTION("""COMPUTED_VALUE"""),231.3)</f>
        <v>231.3</v>
      </c>
      <c r="F449" s="2">
        <f>IFERROR(__xludf.DUMMYFUNCTION("""COMPUTED_VALUE"""),3.9882085E7)</f>
        <v>39882085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IFERROR(__xludf.DUMMYFUNCTION("""COMPUTED_VALUE"""),233.61)</f>
        <v>233.61</v>
      </c>
      <c r="C450" s="2">
        <f>IFERROR(__xludf.DUMMYFUNCTION("""COMPUTED_VALUE"""),237.49)</f>
        <v>237.49</v>
      </c>
      <c r="D450" s="2">
        <f>IFERROR(__xludf.DUMMYFUNCTION("""COMPUTED_VALUE"""),232.37)</f>
        <v>232.37</v>
      </c>
      <c r="E450" s="2">
        <f>IFERROR(__xludf.DUMMYFUNCTION("""COMPUTED_VALUE"""),233.85)</f>
        <v>233.85</v>
      </c>
      <c r="F450" s="2">
        <f>IFERROR(__xludf.DUMMYFUNCTION("""COMPUTED_VALUE"""),6.4751367E7)</f>
        <v>64751367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IFERROR(__xludf.DUMMYFUNCTION("""COMPUTED_VALUE"""),231.6)</f>
        <v>231.6</v>
      </c>
      <c r="C451" s="2">
        <f>IFERROR(__xludf.DUMMYFUNCTION("""COMPUTED_VALUE"""),232.12)</f>
        <v>232.12</v>
      </c>
      <c r="D451" s="2">
        <f>IFERROR(__xludf.DUMMYFUNCTION("""COMPUTED_VALUE"""),229.84)</f>
        <v>229.84</v>
      </c>
      <c r="E451" s="2">
        <f>IFERROR(__xludf.DUMMYFUNCTION("""COMPUTED_VALUE"""),231.78)</f>
        <v>231.78</v>
      </c>
      <c r="F451" s="2">
        <f>IFERROR(__xludf.DUMMYFUNCTION("""COMPUTED_VALUE"""),3.408224E7)</f>
        <v>34082240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IFERROR(__xludf.DUMMYFUNCTION("""COMPUTED_VALUE"""),233.43)</f>
        <v>233.43</v>
      </c>
      <c r="C452" s="2">
        <f>IFERROR(__xludf.DUMMYFUNCTION("""COMPUTED_VALUE"""),233.85)</f>
        <v>233.85</v>
      </c>
      <c r="D452" s="2">
        <f>IFERROR(__xludf.DUMMYFUNCTION("""COMPUTED_VALUE"""),230.52)</f>
        <v>230.52</v>
      </c>
      <c r="E452" s="2">
        <f>IFERROR(__xludf.DUMMYFUNCTION("""COMPUTED_VALUE"""),232.15)</f>
        <v>232.15</v>
      </c>
      <c r="F452" s="2">
        <f>IFERROR(__xludf.DUMMYFUNCTION("""COMPUTED_VALUE"""),3.299381E7)</f>
        <v>32993810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IFERROR(__xludf.DUMMYFUNCTION("""COMPUTED_VALUE"""),236.18)</f>
        <v>236.18</v>
      </c>
      <c r="C453" s="2">
        <f>IFERROR(__xludf.DUMMYFUNCTION("""COMPUTED_VALUE"""),236.18)</f>
        <v>236.18</v>
      </c>
      <c r="D453" s="2">
        <f>IFERROR(__xludf.DUMMYFUNCTION("""COMPUTED_VALUE"""),234.01)</f>
        <v>234.01</v>
      </c>
      <c r="E453" s="2">
        <f>IFERROR(__xludf.DUMMYFUNCTION("""COMPUTED_VALUE"""),235.0)</f>
        <v>235</v>
      </c>
      <c r="F453" s="2">
        <f>IFERROR(__xludf.DUMMYFUNCTION("""COMPUTED_VALUE"""),4.6431472E7)</f>
        <v>46431472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IFERROR(__xludf.DUMMYFUNCTION("""COMPUTED_VALUE"""),234.45)</f>
        <v>234.45</v>
      </c>
      <c r="C454" s="2">
        <f>IFERROR(__xludf.DUMMYFUNCTION("""COMPUTED_VALUE"""),236.85)</f>
        <v>236.85</v>
      </c>
      <c r="D454" s="2">
        <f>IFERROR(__xludf.DUMMYFUNCTION("""COMPUTED_VALUE"""),234.45)</f>
        <v>234.45</v>
      </c>
      <c r="E454" s="2">
        <f>IFERROR(__xludf.DUMMYFUNCTION("""COMPUTED_VALUE"""),236.48)</f>
        <v>236.48</v>
      </c>
      <c r="F454" s="2">
        <f>IFERROR(__xludf.DUMMYFUNCTION("""COMPUTED_VALUE"""),3.625447E7)</f>
        <v>36254470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IFERROR(__xludf.DUMMYFUNCTION("""COMPUTED_VALUE"""),233.89)</f>
        <v>233.89</v>
      </c>
      <c r="C455" s="2">
        <f>IFERROR(__xludf.DUMMYFUNCTION("""COMPUTED_VALUE"""),236.22)</f>
        <v>236.22</v>
      </c>
      <c r="D455" s="2">
        <f>IFERROR(__xludf.DUMMYFUNCTION("""COMPUTED_VALUE"""),232.6)</f>
        <v>232.6</v>
      </c>
      <c r="E455" s="2">
        <f>IFERROR(__xludf.DUMMYFUNCTION("""COMPUTED_VALUE"""),235.86)</f>
        <v>235.86</v>
      </c>
      <c r="F455" s="2">
        <f>IFERROR(__xludf.DUMMYFUNCTION("""COMPUTED_VALUE"""),3.8846578E7)</f>
        <v>38846578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IFERROR(__xludf.DUMMYFUNCTION("""COMPUTED_VALUE"""),234.08)</f>
        <v>234.08</v>
      </c>
      <c r="C456" s="2">
        <f>IFERROR(__xludf.DUMMYFUNCTION("""COMPUTED_VALUE"""),235.14)</f>
        <v>235.14</v>
      </c>
      <c r="D456" s="2">
        <f>IFERROR(__xludf.DUMMYFUNCTION("""COMPUTED_VALUE"""),227.76)</f>
        <v>227.76</v>
      </c>
      <c r="E456" s="2">
        <f>IFERROR(__xludf.DUMMYFUNCTION("""COMPUTED_VALUE"""),230.76)</f>
        <v>230.76</v>
      </c>
      <c r="F456" s="2">
        <f>IFERROR(__xludf.DUMMYFUNCTION("""COMPUTED_VALUE"""),5.2286979E7)</f>
        <v>52286979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IFERROR(__xludf.DUMMYFUNCTION("""COMPUTED_VALUE"""),229.98)</f>
        <v>229.98</v>
      </c>
      <c r="C457" s="2">
        <f>IFERROR(__xludf.DUMMYFUNCTION("""COMPUTED_VALUE"""),230.82)</f>
        <v>230.82</v>
      </c>
      <c r="D457" s="2">
        <f>IFERROR(__xludf.DUMMYFUNCTION("""COMPUTED_VALUE"""),228.41)</f>
        <v>228.41</v>
      </c>
      <c r="E457" s="2">
        <f>IFERROR(__xludf.DUMMYFUNCTION("""COMPUTED_VALUE"""),230.57)</f>
        <v>230.57</v>
      </c>
      <c r="F457" s="2">
        <f>IFERROR(__xludf.DUMMYFUNCTION("""COMPUTED_VALUE"""),3.1109503E7)</f>
        <v>31109503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IFERROR(__xludf.DUMMYFUNCTION("""COMPUTED_VALUE"""),229.74)</f>
        <v>229.74</v>
      </c>
      <c r="C458" s="2">
        <f>IFERROR(__xludf.DUMMYFUNCTION("""COMPUTED_VALUE"""),233.22)</f>
        <v>233.22</v>
      </c>
      <c r="D458" s="2">
        <f>IFERROR(__xludf.DUMMYFUNCTION("""COMPUTED_VALUE"""),229.57)</f>
        <v>229.57</v>
      </c>
      <c r="E458" s="2">
        <f>IFERROR(__xludf.DUMMYFUNCTION("""COMPUTED_VALUE"""),231.41)</f>
        <v>231.41</v>
      </c>
      <c r="F458" s="2">
        <f>IFERROR(__xludf.DUMMYFUNCTION("""COMPUTED_VALUE"""),3.8802304E7)</f>
        <v>38802304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IFERROR(__xludf.DUMMYFUNCTION("""COMPUTED_VALUE"""),233.32)</f>
        <v>233.32</v>
      </c>
      <c r="C459" s="2">
        <f>IFERROR(__xludf.DUMMYFUNCTION("""COMPUTED_VALUE"""),234.73)</f>
        <v>234.73</v>
      </c>
      <c r="D459" s="2">
        <f>IFERROR(__xludf.DUMMYFUNCTION("""COMPUTED_VALUE"""),232.55)</f>
        <v>232.55</v>
      </c>
      <c r="E459" s="2">
        <f>IFERROR(__xludf.DUMMYFUNCTION("""COMPUTED_VALUE"""),233.4)</f>
        <v>233.4</v>
      </c>
      <c r="F459" s="2">
        <f>IFERROR(__xludf.DUMMYFUNCTION("""COMPUTED_VALUE"""),3.6087134E7)</f>
        <v>36087134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IFERROR(__xludf.DUMMYFUNCTION("""COMPUTED_VALUE"""),233.1)</f>
        <v>233.1</v>
      </c>
      <c r="C460" s="2">
        <f>IFERROR(__xludf.DUMMYFUNCTION("""COMPUTED_VALUE"""),234.33)</f>
        <v>234.33</v>
      </c>
      <c r="D460" s="2">
        <f>IFERROR(__xludf.DUMMYFUNCTION("""COMPUTED_VALUE"""),232.32)</f>
        <v>232.32</v>
      </c>
      <c r="E460" s="2">
        <f>IFERROR(__xludf.DUMMYFUNCTION("""COMPUTED_VALUE"""),233.67)</f>
        <v>233.67</v>
      </c>
      <c r="F460" s="2">
        <f>IFERROR(__xludf.DUMMYFUNCTION("""COMPUTED_VALUE"""),3.5417247E7)</f>
        <v>35417247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IFERROR(__xludf.DUMMYFUNCTION("""COMPUTED_VALUE"""),232.61)</f>
        <v>232.61</v>
      </c>
      <c r="C461" s="2">
        <f>IFERROR(__xludf.DUMMYFUNCTION("""COMPUTED_VALUE"""),233.47)</f>
        <v>233.47</v>
      </c>
      <c r="D461" s="2">
        <f>IFERROR(__xludf.DUMMYFUNCTION("""COMPUTED_VALUE"""),229.55)</f>
        <v>229.55</v>
      </c>
      <c r="E461" s="2">
        <f>IFERROR(__xludf.DUMMYFUNCTION("""COMPUTED_VALUE"""),230.1)</f>
        <v>230.1</v>
      </c>
      <c r="F461" s="2">
        <f>IFERROR(__xludf.DUMMYFUNCTION("""COMPUTED_VALUE"""),4.7070907E7)</f>
        <v>47070907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IFERROR(__xludf.DUMMYFUNCTION("""COMPUTED_VALUE"""),229.34)</f>
        <v>229.34</v>
      </c>
      <c r="C462" s="2">
        <f>IFERROR(__xludf.DUMMYFUNCTION("""COMPUTED_VALUE"""),229.83)</f>
        <v>229.83</v>
      </c>
      <c r="D462" s="2">
        <f>IFERROR(__xludf.DUMMYFUNCTION("""COMPUTED_VALUE"""),225.37)</f>
        <v>225.37</v>
      </c>
      <c r="E462" s="2">
        <f>IFERROR(__xludf.DUMMYFUNCTION("""COMPUTED_VALUE"""),225.91)</f>
        <v>225.91</v>
      </c>
      <c r="F462" s="2">
        <f>IFERROR(__xludf.DUMMYFUNCTION("""COMPUTED_VALUE"""),6.4370086E7)</f>
        <v>64370086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IFERROR(__xludf.DUMMYFUNCTION("""COMPUTED_VALUE"""),220.97)</f>
        <v>220.97</v>
      </c>
      <c r="C463" s="2">
        <f>IFERROR(__xludf.DUMMYFUNCTION("""COMPUTED_VALUE"""),225.35)</f>
        <v>225.35</v>
      </c>
      <c r="D463" s="2">
        <f>IFERROR(__xludf.DUMMYFUNCTION("""COMPUTED_VALUE"""),220.27)</f>
        <v>220.27</v>
      </c>
      <c r="E463" s="2">
        <f>IFERROR(__xludf.DUMMYFUNCTION("""COMPUTED_VALUE"""),222.91)</f>
        <v>222.91</v>
      </c>
      <c r="F463" s="2">
        <f>IFERROR(__xludf.DUMMYFUNCTION("""COMPUTED_VALUE"""),6.5276741E7)</f>
        <v>65276741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IFERROR(__xludf.DUMMYFUNCTION("""COMPUTED_VALUE"""),220.99)</f>
        <v>220.99</v>
      </c>
      <c r="C464" s="2">
        <f>IFERROR(__xludf.DUMMYFUNCTION("""COMPUTED_VALUE"""),222.79)</f>
        <v>222.79</v>
      </c>
      <c r="D464" s="2">
        <f>IFERROR(__xludf.DUMMYFUNCTION("""COMPUTED_VALUE"""),219.71)</f>
        <v>219.71</v>
      </c>
      <c r="E464" s="2">
        <f>IFERROR(__xludf.DUMMYFUNCTION("""COMPUTED_VALUE"""),222.01)</f>
        <v>222.01</v>
      </c>
      <c r="F464" s="2">
        <f>IFERROR(__xludf.DUMMYFUNCTION("""COMPUTED_VALUE"""),4.4944468E7)</f>
        <v>44944468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IFERROR(__xludf.DUMMYFUNCTION("""COMPUTED_VALUE"""),221.8)</f>
        <v>221.8</v>
      </c>
      <c r="C465" s="2">
        <f>IFERROR(__xludf.DUMMYFUNCTION("""COMPUTED_VALUE"""),223.95)</f>
        <v>223.95</v>
      </c>
      <c r="D465" s="2">
        <f>IFERROR(__xludf.DUMMYFUNCTION("""COMPUTED_VALUE"""),221.14)</f>
        <v>221.14</v>
      </c>
      <c r="E465" s="2">
        <f>IFERROR(__xludf.DUMMYFUNCTION("""COMPUTED_VALUE"""),223.45)</f>
        <v>223.45</v>
      </c>
      <c r="F465" s="2">
        <f>IFERROR(__xludf.DUMMYFUNCTION("""COMPUTED_VALUE"""),2.8111338E7)</f>
        <v>28111338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IFERROR(__xludf.DUMMYFUNCTION("""COMPUTED_VALUE"""),222.61)</f>
        <v>222.61</v>
      </c>
      <c r="C466" s="2">
        <f>IFERROR(__xludf.DUMMYFUNCTION("""COMPUTED_VALUE"""),226.07)</f>
        <v>226.07</v>
      </c>
      <c r="D466" s="2">
        <f>IFERROR(__xludf.DUMMYFUNCTION("""COMPUTED_VALUE"""),221.19)</f>
        <v>221.19</v>
      </c>
      <c r="E466" s="2">
        <f>IFERROR(__xludf.DUMMYFUNCTION("""COMPUTED_VALUE"""),222.72)</f>
        <v>222.72</v>
      </c>
      <c r="F466" s="2">
        <f>IFERROR(__xludf.DUMMYFUNCTION("""COMPUTED_VALUE"""),5.4561121E7)</f>
        <v>54561121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IFERROR(__xludf.DUMMYFUNCTION("""COMPUTED_VALUE"""),224.63)</f>
        <v>224.63</v>
      </c>
      <c r="C467" s="2">
        <f>IFERROR(__xludf.DUMMYFUNCTION("""COMPUTED_VALUE"""),227.88)</f>
        <v>227.88</v>
      </c>
      <c r="D467" s="2">
        <f>IFERROR(__xludf.DUMMYFUNCTION("""COMPUTED_VALUE"""),224.57)</f>
        <v>224.57</v>
      </c>
      <c r="E467" s="2">
        <f>IFERROR(__xludf.DUMMYFUNCTION("""COMPUTED_VALUE"""),227.48)</f>
        <v>227.48</v>
      </c>
      <c r="F467" s="2">
        <f>IFERROR(__xludf.DUMMYFUNCTION("""COMPUTED_VALUE"""),4.2137691E7)</f>
        <v>42137691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IFERROR(__xludf.DUMMYFUNCTION("""COMPUTED_VALUE"""),227.17)</f>
        <v>227.17</v>
      </c>
      <c r="C468" s="2">
        <f>IFERROR(__xludf.DUMMYFUNCTION("""COMPUTED_VALUE"""),228.66)</f>
        <v>228.66</v>
      </c>
      <c r="D468" s="2">
        <f>IFERROR(__xludf.DUMMYFUNCTION("""COMPUTED_VALUE"""),226.41)</f>
        <v>226.41</v>
      </c>
      <c r="E468" s="2">
        <f>IFERROR(__xludf.DUMMYFUNCTION("""COMPUTED_VALUE"""),226.96)</f>
        <v>226.96</v>
      </c>
      <c r="F468" s="2">
        <f>IFERROR(__xludf.DUMMYFUNCTION("""COMPUTED_VALUE"""),3.8328824E7)</f>
        <v>38328824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IFERROR(__xludf.DUMMYFUNCTION("""COMPUTED_VALUE"""),225.0)</f>
        <v>225</v>
      </c>
      <c r="C469" s="2">
        <f>IFERROR(__xludf.DUMMYFUNCTION("""COMPUTED_VALUE"""),225.7)</f>
        <v>225.7</v>
      </c>
      <c r="D469" s="2">
        <f>IFERROR(__xludf.DUMMYFUNCTION("""COMPUTED_VALUE"""),221.5)</f>
        <v>221.5</v>
      </c>
      <c r="E469" s="2">
        <f>IFERROR(__xludf.DUMMYFUNCTION("""COMPUTED_VALUE"""),224.23)</f>
        <v>224.23</v>
      </c>
      <c r="F469" s="2">
        <f>IFERROR(__xludf.DUMMYFUNCTION("""COMPUTED_VALUE"""),4.2005602E7)</f>
        <v>42005602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IFERROR(__xludf.DUMMYFUNCTION("""COMPUTED_VALUE"""),224.55)</f>
        <v>224.55</v>
      </c>
      <c r="C470" s="2">
        <f>IFERROR(__xludf.DUMMYFUNCTION("""COMPUTED_VALUE"""),225.59)</f>
        <v>225.59</v>
      </c>
      <c r="D470" s="2">
        <f>IFERROR(__xludf.DUMMYFUNCTION("""COMPUTED_VALUE"""),223.36)</f>
        <v>223.36</v>
      </c>
      <c r="E470" s="2">
        <f>IFERROR(__xludf.DUMMYFUNCTION("""COMPUTED_VALUE"""),224.23)</f>
        <v>224.23</v>
      </c>
      <c r="F470" s="2">
        <f>IFERROR(__xludf.DUMMYFUNCTION("""COMPUTED_VALUE"""),4.0398299E7)</f>
        <v>40398299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IFERROR(__xludf.DUMMYFUNCTION("""COMPUTED_VALUE"""),224.01)</f>
        <v>224.01</v>
      </c>
      <c r="C471" s="2">
        <f>IFERROR(__xludf.DUMMYFUNCTION("""COMPUTED_VALUE"""),226.65)</f>
        <v>226.65</v>
      </c>
      <c r="D471" s="2">
        <f>IFERROR(__xludf.DUMMYFUNCTION("""COMPUTED_VALUE"""),222.76)</f>
        <v>222.76</v>
      </c>
      <c r="E471" s="2">
        <f>IFERROR(__xludf.DUMMYFUNCTION("""COMPUTED_VALUE"""),225.12)</f>
        <v>225.12</v>
      </c>
      <c r="F471" s="2">
        <f>IFERROR(__xludf.DUMMYFUNCTION("""COMPUTED_VALUE"""),4.8566217E7)</f>
        <v>48566217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IFERROR(__xludf.DUMMYFUNCTION("""COMPUTED_VALUE"""),225.02)</f>
        <v>225.02</v>
      </c>
      <c r="C472" s="2">
        <f>IFERROR(__xludf.DUMMYFUNCTION("""COMPUTED_VALUE"""),228.87)</f>
        <v>228.87</v>
      </c>
      <c r="D472" s="2">
        <f>IFERROR(__xludf.DUMMYFUNCTION("""COMPUTED_VALUE"""),225.0)</f>
        <v>225</v>
      </c>
      <c r="E472" s="2">
        <f>IFERROR(__xludf.DUMMYFUNCTION("""COMPUTED_VALUE"""),228.22)</f>
        <v>228.22</v>
      </c>
      <c r="F472" s="2">
        <f>IFERROR(__xludf.DUMMYFUNCTION("""COMPUTED_VALUE"""),4.4923941E7)</f>
        <v>44923941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IFERROR(__xludf.DUMMYFUNCTION("""COMPUTED_VALUE"""),226.4)</f>
        <v>226.4</v>
      </c>
      <c r="C473" s="2">
        <f>IFERROR(__xludf.DUMMYFUNCTION("""COMPUTED_VALUE"""),226.92)</f>
        <v>226.92</v>
      </c>
      <c r="D473" s="2">
        <f>IFERROR(__xludf.DUMMYFUNCTION("""COMPUTED_VALUE"""),224.27)</f>
        <v>224.27</v>
      </c>
      <c r="E473" s="2">
        <f>IFERROR(__xludf.DUMMYFUNCTION("""COMPUTED_VALUE"""),225.0)</f>
        <v>225</v>
      </c>
      <c r="F473" s="2">
        <f>IFERROR(__xludf.DUMMYFUNCTION("""COMPUTED_VALUE"""),4.7923696E7)</f>
        <v>47923696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IFERROR(__xludf.DUMMYFUNCTION("""COMPUTED_VALUE"""),225.25)</f>
        <v>225.25</v>
      </c>
      <c r="C474" s="2">
        <f>IFERROR(__xludf.DUMMYFUNCTION("""COMPUTED_VALUE"""),229.74)</f>
        <v>229.74</v>
      </c>
      <c r="D474" s="2">
        <f>IFERROR(__xludf.DUMMYFUNCTION("""COMPUTED_VALUE"""),225.17)</f>
        <v>225.17</v>
      </c>
      <c r="E474" s="2">
        <f>IFERROR(__xludf.DUMMYFUNCTION("""COMPUTED_VALUE"""),228.02)</f>
        <v>228.02</v>
      </c>
      <c r="F474" s="2">
        <f>IFERROR(__xludf.DUMMYFUNCTION("""COMPUTED_VALUE"""),4.468602E7)</f>
        <v>44686020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IFERROR(__xludf.DUMMYFUNCTION("""COMPUTED_VALUE"""),226.98)</f>
        <v>226.98</v>
      </c>
      <c r="C475" s="2">
        <f>IFERROR(__xludf.DUMMYFUNCTION("""COMPUTED_VALUE"""),230.16)</f>
        <v>230.16</v>
      </c>
      <c r="D475" s="2">
        <f>IFERROR(__xludf.DUMMYFUNCTION("""COMPUTED_VALUE"""),226.66)</f>
        <v>226.66</v>
      </c>
      <c r="E475" s="2">
        <f>IFERROR(__xludf.DUMMYFUNCTION("""COMPUTED_VALUE"""),228.28)</f>
        <v>228.28</v>
      </c>
      <c r="F475" s="2">
        <f>IFERROR(__xludf.DUMMYFUNCTION("""COMPUTED_VALUE"""),3.6211774E7)</f>
        <v>36211774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IFERROR(__xludf.DUMMYFUNCTION("""COMPUTED_VALUE"""),228.06)</f>
        <v>228.06</v>
      </c>
      <c r="C476" s="2">
        <f>IFERROR(__xludf.DUMMYFUNCTION("""COMPUTED_VALUE"""),229.93)</f>
        <v>229.93</v>
      </c>
      <c r="D476" s="2">
        <f>IFERROR(__xludf.DUMMYFUNCTION("""COMPUTED_VALUE"""),225.89)</f>
        <v>225.89</v>
      </c>
      <c r="E476" s="2">
        <f>IFERROR(__xludf.DUMMYFUNCTION("""COMPUTED_VALUE"""),229.0)</f>
        <v>229</v>
      </c>
      <c r="F476" s="2">
        <f>IFERROR(__xludf.DUMMYFUNCTION("""COMPUTED_VALUE"""),3.5169566E7)</f>
        <v>35169566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IFERROR(__xludf.DUMMYFUNCTION("""COMPUTED_VALUE"""),228.88)</f>
        <v>228.88</v>
      </c>
      <c r="C477" s="2">
        <f>IFERROR(__xludf.DUMMYFUNCTION("""COMPUTED_VALUE"""),230.16)</f>
        <v>230.16</v>
      </c>
      <c r="D477" s="2">
        <f>IFERROR(__xludf.DUMMYFUNCTION("""COMPUTED_VALUE"""),225.71)</f>
        <v>225.71</v>
      </c>
      <c r="E477" s="2">
        <f>IFERROR(__xludf.DUMMYFUNCTION("""COMPUTED_VALUE"""),228.52)</f>
        <v>228.52</v>
      </c>
      <c r="F477" s="2">
        <f>IFERROR(__xludf.DUMMYFUNCTION("""COMPUTED_VALUE"""),4.2108327E7)</f>
        <v>42108327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IFERROR(__xludf.DUMMYFUNCTION("""COMPUTED_VALUE"""),228.06)</f>
        <v>228.06</v>
      </c>
      <c r="C478" s="2">
        <f>IFERROR(__xludf.DUMMYFUNCTION("""COMPUTED_VALUE"""),230.72)</f>
        <v>230.72</v>
      </c>
      <c r="D478" s="2">
        <f>IFERROR(__xludf.DUMMYFUNCTION("""COMPUTED_VALUE"""),228.06)</f>
        <v>228.06</v>
      </c>
      <c r="E478" s="2">
        <f>IFERROR(__xludf.DUMMYFUNCTION("""COMPUTED_VALUE"""),229.87)</f>
        <v>229.87</v>
      </c>
      <c r="F478" s="2">
        <f>IFERROR(__xludf.DUMMYFUNCTION("""COMPUTED_VALUE"""),3.8168252E7)</f>
        <v>38168252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IFERROR(__xludf.DUMMYFUNCTION("""COMPUTED_VALUE"""),231.46)</f>
        <v>231.46</v>
      </c>
      <c r="C479" s="2">
        <f>IFERROR(__xludf.DUMMYFUNCTION("""COMPUTED_VALUE"""),233.25)</f>
        <v>233.25</v>
      </c>
      <c r="D479" s="2">
        <f>IFERROR(__xludf.DUMMYFUNCTION("""COMPUTED_VALUE"""),229.74)</f>
        <v>229.74</v>
      </c>
      <c r="E479" s="2">
        <f>IFERROR(__xludf.DUMMYFUNCTION("""COMPUTED_VALUE"""),232.87)</f>
        <v>232.87</v>
      </c>
      <c r="F479" s="2">
        <f>IFERROR(__xludf.DUMMYFUNCTION("""COMPUTED_VALUE"""),9.0152832E7)</f>
        <v>90152832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IFERROR(__xludf.DUMMYFUNCTION("""COMPUTED_VALUE"""),233.33)</f>
        <v>233.33</v>
      </c>
      <c r="C480" s="2">
        <f>IFERROR(__xludf.DUMMYFUNCTION("""COMPUTED_VALUE"""),235.57)</f>
        <v>235.57</v>
      </c>
      <c r="D480" s="2">
        <f>IFERROR(__xludf.DUMMYFUNCTION("""COMPUTED_VALUE"""),233.33)</f>
        <v>233.33</v>
      </c>
      <c r="E480" s="2">
        <f>IFERROR(__xludf.DUMMYFUNCTION("""COMPUTED_VALUE"""),235.06)</f>
        <v>235.06</v>
      </c>
      <c r="F480" s="2">
        <f>IFERROR(__xludf.DUMMYFUNCTION("""COMPUTED_VALUE"""),4.5986189E7)</f>
        <v>45986189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IFERROR(__xludf.DUMMYFUNCTION("""COMPUTED_VALUE"""),234.47)</f>
        <v>234.47</v>
      </c>
      <c r="C481" s="2">
        <f>IFERROR(__xludf.DUMMYFUNCTION("""COMPUTED_VALUE"""),235.69)</f>
        <v>235.69</v>
      </c>
      <c r="D481" s="2">
        <f>IFERROR(__xludf.DUMMYFUNCTION("""COMPUTED_VALUE"""),233.81)</f>
        <v>233.81</v>
      </c>
      <c r="E481" s="2">
        <f>IFERROR(__xludf.DUMMYFUNCTION("""COMPUTED_VALUE"""),234.93)</f>
        <v>234.93</v>
      </c>
      <c r="F481" s="2">
        <f>IFERROR(__xludf.DUMMYFUNCTION("""COMPUTED_VALUE"""),3.3498439E7)</f>
        <v>33498439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IFERROR(__xludf.DUMMYFUNCTION("""COMPUTED_VALUE"""),234.81)</f>
        <v>234.81</v>
      </c>
      <c r="C482" s="2">
        <f>IFERROR(__xludf.DUMMYFUNCTION("""COMPUTED_VALUE"""),237.81)</f>
        <v>237.81</v>
      </c>
      <c r="D482" s="2">
        <f>IFERROR(__xludf.DUMMYFUNCTION("""COMPUTED_VALUE"""),233.97)</f>
        <v>233.97</v>
      </c>
      <c r="E482" s="2">
        <f>IFERROR(__xludf.DUMMYFUNCTION("""COMPUTED_VALUE"""),237.33)</f>
        <v>237.33</v>
      </c>
      <c r="F482" s="2">
        <f>IFERROR(__xludf.DUMMYFUNCTION("""COMPUTED_VALUE"""),2.8481377E7)</f>
        <v>28481377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IFERROR(__xludf.DUMMYFUNCTION("""COMPUTED_VALUE"""),237.27)</f>
        <v>237.27</v>
      </c>
      <c r="C483" s="2">
        <f>IFERROR(__xludf.DUMMYFUNCTION("""COMPUTED_VALUE"""),240.79)</f>
        <v>240.79</v>
      </c>
      <c r="D483" s="2">
        <f>IFERROR(__xludf.DUMMYFUNCTION("""COMPUTED_VALUE"""),237.16)</f>
        <v>237.16</v>
      </c>
      <c r="E483" s="2">
        <f>IFERROR(__xludf.DUMMYFUNCTION("""COMPUTED_VALUE"""),239.59)</f>
        <v>239.59</v>
      </c>
      <c r="F483" s="2">
        <f>IFERROR(__xludf.DUMMYFUNCTION("""COMPUTED_VALUE"""),4.8137103E7)</f>
        <v>48137103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IFERROR(__xludf.DUMMYFUNCTION("""COMPUTED_VALUE"""),239.81)</f>
        <v>239.81</v>
      </c>
      <c r="C484" s="2">
        <f>IFERROR(__xludf.DUMMYFUNCTION("""COMPUTED_VALUE"""),242.76)</f>
        <v>242.76</v>
      </c>
      <c r="D484" s="2">
        <f>IFERROR(__xludf.DUMMYFUNCTION("""COMPUTED_VALUE"""),238.9)</f>
        <v>238.9</v>
      </c>
      <c r="E484" s="2">
        <f>IFERROR(__xludf.DUMMYFUNCTION("""COMPUTED_VALUE"""),242.65)</f>
        <v>242.65</v>
      </c>
      <c r="F484" s="2">
        <f>IFERROR(__xludf.DUMMYFUNCTION("""COMPUTED_VALUE"""),3.8861017E7)</f>
        <v>38861017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IFERROR(__xludf.DUMMYFUNCTION("""COMPUTED_VALUE"""),242.87)</f>
        <v>242.87</v>
      </c>
      <c r="C485" s="2">
        <f>IFERROR(__xludf.DUMMYFUNCTION("""COMPUTED_VALUE"""),244.11)</f>
        <v>244.11</v>
      </c>
      <c r="D485" s="2">
        <f>IFERROR(__xludf.DUMMYFUNCTION("""COMPUTED_VALUE"""),241.25)</f>
        <v>241.25</v>
      </c>
      <c r="E485" s="2">
        <f>IFERROR(__xludf.DUMMYFUNCTION("""COMPUTED_VALUE"""),243.01)</f>
        <v>243.01</v>
      </c>
      <c r="F485" s="2">
        <f>IFERROR(__xludf.DUMMYFUNCTION("""COMPUTED_VALUE"""),4.4383935E7)</f>
        <v>44383935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IFERROR(__xludf.DUMMYFUNCTION("""COMPUTED_VALUE"""),243.99)</f>
        <v>243.99</v>
      </c>
      <c r="C486" s="2">
        <f>IFERROR(__xludf.DUMMYFUNCTION("""COMPUTED_VALUE"""),244.54)</f>
        <v>244.54</v>
      </c>
      <c r="D486" s="2">
        <f>IFERROR(__xludf.DUMMYFUNCTION("""COMPUTED_VALUE"""),242.13)</f>
        <v>242.13</v>
      </c>
      <c r="E486" s="2">
        <f>IFERROR(__xludf.DUMMYFUNCTION("""COMPUTED_VALUE"""),243.04)</f>
        <v>243.04</v>
      </c>
      <c r="F486" s="2">
        <f>IFERROR(__xludf.DUMMYFUNCTION("""COMPUTED_VALUE"""),4.0033878E7)</f>
        <v>40033878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IFERROR(__xludf.DUMMYFUNCTION("""COMPUTED_VALUE"""),242.91)</f>
        <v>242.91</v>
      </c>
      <c r="C487" s="2">
        <f>IFERROR(__xludf.DUMMYFUNCTION("""COMPUTED_VALUE"""),244.63)</f>
        <v>244.63</v>
      </c>
      <c r="D487" s="2">
        <f>IFERROR(__xludf.DUMMYFUNCTION("""COMPUTED_VALUE"""),242.08)</f>
        <v>242.08</v>
      </c>
      <c r="E487" s="2">
        <f>IFERROR(__xludf.DUMMYFUNCTION("""COMPUTED_VALUE"""),242.84)</f>
        <v>242.84</v>
      </c>
      <c r="F487" s="2">
        <f>IFERROR(__xludf.DUMMYFUNCTION("""COMPUTED_VALUE"""),3.6870619E7)</f>
        <v>36870619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IFERROR(__xludf.DUMMYFUNCTION("""COMPUTED_VALUE"""),241.83)</f>
        <v>241.83</v>
      </c>
      <c r="C488" s="2">
        <f>IFERROR(__xludf.DUMMYFUNCTION("""COMPUTED_VALUE"""),247.24)</f>
        <v>247.24</v>
      </c>
      <c r="D488" s="2">
        <f>IFERROR(__xludf.DUMMYFUNCTION("""COMPUTED_VALUE"""),241.75)</f>
        <v>241.75</v>
      </c>
      <c r="E488" s="2">
        <f>IFERROR(__xludf.DUMMYFUNCTION("""COMPUTED_VALUE"""),246.75)</f>
        <v>246.75</v>
      </c>
      <c r="F488" s="2">
        <f>IFERROR(__xludf.DUMMYFUNCTION("""COMPUTED_VALUE"""),4.4649232E7)</f>
        <v>44649232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IFERROR(__xludf.DUMMYFUNCTION("""COMPUTED_VALUE"""),246.89)</f>
        <v>246.89</v>
      </c>
      <c r="C489" s="2">
        <f>IFERROR(__xludf.DUMMYFUNCTION("""COMPUTED_VALUE"""),248.21)</f>
        <v>248.21</v>
      </c>
      <c r="D489" s="2">
        <f>IFERROR(__xludf.DUMMYFUNCTION("""COMPUTED_VALUE"""),245.34)</f>
        <v>245.34</v>
      </c>
      <c r="E489" s="2">
        <f>IFERROR(__xludf.DUMMYFUNCTION("""COMPUTED_VALUE"""),247.77)</f>
        <v>247.77</v>
      </c>
      <c r="F489" s="2">
        <f>IFERROR(__xludf.DUMMYFUNCTION("""COMPUTED_VALUE"""),3.6914806E7)</f>
        <v>36914806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IFERROR(__xludf.DUMMYFUNCTION("""COMPUTED_VALUE"""),247.96)</f>
        <v>247.96</v>
      </c>
      <c r="C490" s="2">
        <f>IFERROR(__xludf.DUMMYFUNCTION("""COMPUTED_VALUE"""),250.8)</f>
        <v>250.8</v>
      </c>
      <c r="D490" s="2">
        <f>IFERROR(__xludf.DUMMYFUNCTION("""COMPUTED_VALUE"""),246.26)</f>
        <v>246.26</v>
      </c>
      <c r="E490" s="2">
        <f>IFERROR(__xludf.DUMMYFUNCTION("""COMPUTED_VALUE"""),246.49)</f>
        <v>246.49</v>
      </c>
      <c r="F490" s="2">
        <f>IFERROR(__xludf.DUMMYFUNCTION("""COMPUTED_VALUE"""),4.5205814E7)</f>
        <v>45205814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IFERROR(__xludf.DUMMYFUNCTION("""COMPUTED_VALUE"""),246.89)</f>
        <v>246.89</v>
      </c>
      <c r="C491" s="2">
        <f>IFERROR(__xludf.DUMMYFUNCTION("""COMPUTED_VALUE"""),248.74)</f>
        <v>248.74</v>
      </c>
      <c r="D491" s="2">
        <f>IFERROR(__xludf.DUMMYFUNCTION("""COMPUTED_VALUE"""),245.68)</f>
        <v>245.68</v>
      </c>
      <c r="E491" s="2">
        <f>IFERROR(__xludf.DUMMYFUNCTION("""COMPUTED_VALUE"""),247.96)</f>
        <v>247.96</v>
      </c>
      <c r="F491" s="2">
        <f>IFERROR(__xludf.DUMMYFUNCTION("""COMPUTED_VALUE"""),3.2777532E7)</f>
        <v>32777532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IFERROR(__xludf.DUMMYFUNCTION("""COMPUTED_VALUE"""),247.82)</f>
        <v>247.82</v>
      </c>
      <c r="C492" s="2">
        <f>IFERROR(__xludf.DUMMYFUNCTION("""COMPUTED_VALUE"""),249.29)</f>
        <v>249.29</v>
      </c>
      <c r="D492" s="2">
        <f>IFERROR(__xludf.DUMMYFUNCTION("""COMPUTED_VALUE"""),246.24)</f>
        <v>246.24</v>
      </c>
      <c r="E492" s="2">
        <f>IFERROR(__xludf.DUMMYFUNCTION("""COMPUTED_VALUE"""),248.13)</f>
        <v>248.13</v>
      </c>
      <c r="F492" s="2">
        <f>IFERROR(__xludf.DUMMYFUNCTION("""COMPUTED_VALUE"""),3.315529E7)</f>
        <v>33155290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IFERROR(__xludf.DUMMYFUNCTION("""COMPUTED_VALUE"""),247.99)</f>
        <v>247.99</v>
      </c>
      <c r="C493" s="2">
        <f>IFERROR(__xludf.DUMMYFUNCTION("""COMPUTED_VALUE"""),251.38)</f>
        <v>251.38</v>
      </c>
      <c r="D493" s="2">
        <f>IFERROR(__xludf.DUMMYFUNCTION("""COMPUTED_VALUE"""),247.65)</f>
        <v>247.65</v>
      </c>
      <c r="E493" s="2">
        <f>IFERROR(__xludf.DUMMYFUNCTION("""COMPUTED_VALUE"""),251.04)</f>
        <v>251.04</v>
      </c>
      <c r="F493" s="2">
        <f>IFERROR(__xludf.DUMMYFUNCTION("""COMPUTED_VALUE"""),5.1694753E7)</f>
        <v>51694753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IFERROR(__xludf.DUMMYFUNCTION("""COMPUTED_VALUE"""),250.08)</f>
        <v>250.08</v>
      </c>
      <c r="C494" s="2">
        <f>IFERROR(__xludf.DUMMYFUNCTION("""COMPUTED_VALUE"""),253.83)</f>
        <v>253.83</v>
      </c>
      <c r="D494" s="2">
        <f>IFERROR(__xludf.DUMMYFUNCTION("""COMPUTED_VALUE"""),249.78)</f>
        <v>249.78</v>
      </c>
      <c r="E494" s="2">
        <f>IFERROR(__xludf.DUMMYFUNCTION("""COMPUTED_VALUE"""),253.48)</f>
        <v>253.48</v>
      </c>
      <c r="F494" s="2">
        <f>IFERROR(__xludf.DUMMYFUNCTION("""COMPUTED_VALUE"""),5.135636E7)</f>
        <v>51356360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IFERROR(__xludf.DUMMYFUNCTION("GOOGLEFINANCE(""AMZN"",""all"",DATE(2023,1,1),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IFERROR(__xludf.DUMMYFUNCTION("""COMPUTED_VALUE"""),85.46)</f>
        <v>85.46</v>
      </c>
      <c r="C2" s="2">
        <f>IFERROR(__xludf.DUMMYFUNCTION("""COMPUTED_VALUE"""),86.96)</f>
        <v>86.96</v>
      </c>
      <c r="D2" s="2">
        <f>IFERROR(__xludf.DUMMYFUNCTION("""COMPUTED_VALUE"""),84.21)</f>
        <v>84.21</v>
      </c>
      <c r="E2" s="2">
        <f>IFERROR(__xludf.DUMMYFUNCTION("""COMPUTED_VALUE"""),85.82)</f>
        <v>85.82</v>
      </c>
      <c r="F2" s="2">
        <f>IFERROR(__xludf.DUMMYFUNCTION("""COMPUTED_VALUE"""),7.670604E7)</f>
        <v>76706040</v>
      </c>
    </row>
    <row r="3">
      <c r="A3" s="3">
        <f>IFERROR(__xludf.DUMMYFUNCTION("""COMPUTED_VALUE"""),44930.66666666667)</f>
        <v>44930.66667</v>
      </c>
      <c r="B3" s="2">
        <f>IFERROR(__xludf.DUMMYFUNCTION("""COMPUTED_VALUE"""),86.55)</f>
        <v>86.55</v>
      </c>
      <c r="C3" s="2">
        <f>IFERROR(__xludf.DUMMYFUNCTION("""COMPUTED_VALUE"""),86.98)</f>
        <v>86.98</v>
      </c>
      <c r="D3" s="2">
        <f>IFERROR(__xludf.DUMMYFUNCTION("""COMPUTED_VALUE"""),83.36)</f>
        <v>83.36</v>
      </c>
      <c r="E3" s="2">
        <f>IFERROR(__xludf.DUMMYFUNCTION("""COMPUTED_VALUE"""),85.14)</f>
        <v>85.14</v>
      </c>
      <c r="F3" s="2">
        <f>IFERROR(__xludf.DUMMYFUNCTION("""COMPUTED_VALUE"""),6.8885123E7)</f>
        <v>68885123</v>
      </c>
    </row>
    <row r="4">
      <c r="A4" s="3">
        <f>IFERROR(__xludf.DUMMYFUNCTION("""COMPUTED_VALUE"""),44931.66666666667)</f>
        <v>44931.66667</v>
      </c>
      <c r="B4" s="2">
        <f>IFERROR(__xludf.DUMMYFUNCTION("""COMPUTED_VALUE"""),85.33)</f>
        <v>85.33</v>
      </c>
      <c r="C4" s="2">
        <f>IFERROR(__xludf.DUMMYFUNCTION("""COMPUTED_VALUE"""),85.42)</f>
        <v>85.42</v>
      </c>
      <c r="D4" s="2">
        <f>IFERROR(__xludf.DUMMYFUNCTION("""COMPUTED_VALUE"""),83.07)</f>
        <v>83.07</v>
      </c>
      <c r="E4" s="2">
        <f>IFERROR(__xludf.DUMMYFUNCTION("""COMPUTED_VALUE"""),83.12)</f>
        <v>83.12</v>
      </c>
      <c r="F4" s="2">
        <f>IFERROR(__xludf.DUMMYFUNCTION("""COMPUTED_VALUE"""),6.7930825E7)</f>
        <v>67930825</v>
      </c>
    </row>
    <row r="5">
      <c r="A5" s="3">
        <f>IFERROR(__xludf.DUMMYFUNCTION("""COMPUTED_VALUE"""),44932.66666666667)</f>
        <v>44932.66667</v>
      </c>
      <c r="B5" s="2">
        <f>IFERROR(__xludf.DUMMYFUNCTION("""COMPUTED_VALUE"""),83.03)</f>
        <v>83.03</v>
      </c>
      <c r="C5" s="2">
        <f>IFERROR(__xludf.DUMMYFUNCTION("""COMPUTED_VALUE"""),86.4)</f>
        <v>86.4</v>
      </c>
      <c r="D5" s="2">
        <f>IFERROR(__xludf.DUMMYFUNCTION("""COMPUTED_VALUE"""),81.43)</f>
        <v>81.43</v>
      </c>
      <c r="E5" s="2">
        <f>IFERROR(__xludf.DUMMYFUNCTION("""COMPUTED_VALUE"""),86.08)</f>
        <v>86.08</v>
      </c>
      <c r="F5" s="2">
        <f>IFERROR(__xludf.DUMMYFUNCTION("""COMPUTED_VALUE"""),8.3303361E7)</f>
        <v>83303361</v>
      </c>
    </row>
    <row r="6">
      <c r="A6" s="3">
        <f>IFERROR(__xludf.DUMMYFUNCTION("""COMPUTED_VALUE"""),44935.66666666667)</f>
        <v>44935.66667</v>
      </c>
      <c r="B6" s="2">
        <f>IFERROR(__xludf.DUMMYFUNCTION("""COMPUTED_VALUE"""),87.46)</f>
        <v>87.46</v>
      </c>
      <c r="C6" s="2">
        <f>IFERROR(__xludf.DUMMYFUNCTION("""COMPUTED_VALUE"""),89.48)</f>
        <v>89.48</v>
      </c>
      <c r="D6" s="2">
        <f>IFERROR(__xludf.DUMMYFUNCTION("""COMPUTED_VALUE"""),87.08)</f>
        <v>87.08</v>
      </c>
      <c r="E6" s="2">
        <f>IFERROR(__xludf.DUMMYFUNCTION("""COMPUTED_VALUE"""),87.36)</f>
        <v>87.36</v>
      </c>
      <c r="F6" s="2">
        <f>IFERROR(__xludf.DUMMYFUNCTION("""COMPUTED_VALUE"""),6.5266056E7)</f>
        <v>65266056</v>
      </c>
    </row>
    <row r="7">
      <c r="A7" s="3">
        <f>IFERROR(__xludf.DUMMYFUNCTION("""COMPUTED_VALUE"""),44936.66666666667)</f>
        <v>44936.66667</v>
      </c>
      <c r="B7" s="2">
        <f>IFERROR(__xludf.DUMMYFUNCTION("""COMPUTED_VALUE"""),87.57)</f>
        <v>87.57</v>
      </c>
      <c r="C7" s="2">
        <f>IFERROR(__xludf.DUMMYFUNCTION("""COMPUTED_VALUE"""),90.19)</f>
        <v>90.19</v>
      </c>
      <c r="D7" s="2">
        <f>IFERROR(__xludf.DUMMYFUNCTION("""COMPUTED_VALUE"""),87.29)</f>
        <v>87.29</v>
      </c>
      <c r="E7" s="2">
        <f>IFERROR(__xludf.DUMMYFUNCTION("""COMPUTED_VALUE"""),89.87)</f>
        <v>89.87</v>
      </c>
      <c r="F7" s="2">
        <f>IFERROR(__xludf.DUMMYFUNCTION("""COMPUTED_VALUE"""),6.7756601E7)</f>
        <v>67756601</v>
      </c>
    </row>
    <row r="8">
      <c r="A8" s="3">
        <f>IFERROR(__xludf.DUMMYFUNCTION("""COMPUTED_VALUE"""),44937.66666666667)</f>
        <v>44937.66667</v>
      </c>
      <c r="B8" s="2">
        <f>IFERROR(__xludf.DUMMYFUNCTION("""COMPUTED_VALUE"""),90.93)</f>
        <v>90.93</v>
      </c>
      <c r="C8" s="2">
        <f>IFERROR(__xludf.DUMMYFUNCTION("""COMPUTED_VALUE"""),95.26)</f>
        <v>95.26</v>
      </c>
      <c r="D8" s="2">
        <f>IFERROR(__xludf.DUMMYFUNCTION("""COMPUTED_VALUE"""),90.93)</f>
        <v>90.93</v>
      </c>
      <c r="E8" s="2">
        <f>IFERROR(__xludf.DUMMYFUNCTION("""COMPUTED_VALUE"""),95.09)</f>
        <v>95.09</v>
      </c>
      <c r="F8" s="2">
        <f>IFERROR(__xludf.DUMMYFUNCTION("""COMPUTED_VALUE"""),1.03126183E8)</f>
        <v>103126183</v>
      </c>
    </row>
    <row r="9">
      <c r="A9" s="3">
        <f>IFERROR(__xludf.DUMMYFUNCTION("""COMPUTED_VALUE"""),44938.66666666667)</f>
        <v>44938.66667</v>
      </c>
      <c r="B9" s="2">
        <f>IFERROR(__xludf.DUMMYFUNCTION("""COMPUTED_VALUE"""),96.93)</f>
        <v>96.93</v>
      </c>
      <c r="C9" s="2">
        <f>IFERROR(__xludf.DUMMYFUNCTION("""COMPUTED_VALUE"""),97.19)</f>
        <v>97.19</v>
      </c>
      <c r="D9" s="2">
        <f>IFERROR(__xludf.DUMMYFUNCTION("""COMPUTED_VALUE"""),93.5)</f>
        <v>93.5</v>
      </c>
      <c r="E9" s="2">
        <f>IFERROR(__xludf.DUMMYFUNCTION("""COMPUTED_VALUE"""),95.27)</f>
        <v>95.27</v>
      </c>
      <c r="F9" s="2">
        <f>IFERROR(__xludf.DUMMYFUNCTION("""COMPUTED_VALUE"""),8.5254781E7)</f>
        <v>85254781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IFERROR(__xludf.DUMMYFUNCTION("""COMPUTED_VALUE"""),94.18)</f>
        <v>94.18</v>
      </c>
      <c r="C10" s="2">
        <f>IFERROR(__xludf.DUMMYFUNCTION("""COMPUTED_VALUE"""),98.37)</f>
        <v>98.37</v>
      </c>
      <c r="D10" s="2">
        <f>IFERROR(__xludf.DUMMYFUNCTION("""COMPUTED_VALUE"""),94.12)</f>
        <v>94.12</v>
      </c>
      <c r="E10" s="2">
        <f>IFERROR(__xludf.DUMMYFUNCTION("""COMPUTED_VALUE"""),98.12)</f>
        <v>98.12</v>
      </c>
      <c r="F10" s="2">
        <f>IFERROR(__xludf.DUMMYFUNCTION("""COMPUTED_VALUE"""),8.5549432E7)</f>
        <v>85549432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IFERROR(__xludf.DUMMYFUNCTION("""COMPUTED_VALUE"""),98.68)</f>
        <v>98.68</v>
      </c>
      <c r="C11" s="2">
        <f>IFERROR(__xludf.DUMMYFUNCTION("""COMPUTED_VALUE"""),98.89)</f>
        <v>98.89</v>
      </c>
      <c r="D11" s="2">
        <f>IFERROR(__xludf.DUMMYFUNCTION("""COMPUTED_VALUE"""),95.73)</f>
        <v>95.73</v>
      </c>
      <c r="E11" s="2">
        <f>IFERROR(__xludf.DUMMYFUNCTION("""COMPUTED_VALUE"""),96.05)</f>
        <v>96.05</v>
      </c>
      <c r="F11" s="2">
        <f>IFERROR(__xludf.DUMMYFUNCTION("""COMPUTED_VALUE"""),7.2755001E7)</f>
        <v>72755001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IFERROR(__xludf.DUMMYFUNCTION("""COMPUTED_VALUE"""),97.25)</f>
        <v>97.25</v>
      </c>
      <c r="C12" s="2">
        <f>IFERROR(__xludf.DUMMYFUNCTION("""COMPUTED_VALUE"""),99.32)</f>
        <v>99.32</v>
      </c>
      <c r="D12" s="2">
        <f>IFERROR(__xludf.DUMMYFUNCTION("""COMPUTED_VALUE"""),95.38)</f>
        <v>95.38</v>
      </c>
      <c r="E12" s="2">
        <f>IFERROR(__xludf.DUMMYFUNCTION("""COMPUTED_VALUE"""),95.46)</f>
        <v>95.46</v>
      </c>
      <c r="F12" s="2">
        <f>IFERROR(__xludf.DUMMYFUNCTION("""COMPUTED_VALUE"""),7.957037E7)</f>
        <v>79570370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IFERROR(__xludf.DUMMYFUNCTION("""COMPUTED_VALUE"""),94.74)</f>
        <v>94.74</v>
      </c>
      <c r="C13" s="2">
        <f>IFERROR(__xludf.DUMMYFUNCTION("""COMPUTED_VALUE"""),95.44)</f>
        <v>95.44</v>
      </c>
      <c r="D13" s="2">
        <f>IFERROR(__xludf.DUMMYFUNCTION("""COMPUTED_VALUE"""),92.86)</f>
        <v>92.86</v>
      </c>
      <c r="E13" s="2">
        <f>IFERROR(__xludf.DUMMYFUNCTION("""COMPUTED_VALUE"""),93.68)</f>
        <v>93.68</v>
      </c>
      <c r="F13" s="2">
        <f>IFERROR(__xludf.DUMMYFUNCTION("""COMPUTED_VALUE"""),6.9002663E7)</f>
        <v>69002663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IFERROR(__xludf.DUMMYFUNCTION("""COMPUTED_VALUE"""),93.86)</f>
        <v>93.86</v>
      </c>
      <c r="C14" s="2">
        <f>IFERROR(__xludf.DUMMYFUNCTION("""COMPUTED_VALUE"""),97.35)</f>
        <v>97.35</v>
      </c>
      <c r="D14" s="2">
        <f>IFERROR(__xludf.DUMMYFUNCTION("""COMPUTED_VALUE"""),93.2)</f>
        <v>93.2</v>
      </c>
      <c r="E14" s="2">
        <f>IFERROR(__xludf.DUMMYFUNCTION("""COMPUTED_VALUE"""),97.25)</f>
        <v>97.25</v>
      </c>
      <c r="F14" s="2">
        <f>IFERROR(__xludf.DUMMYFUNCTION("""COMPUTED_VALUE"""),6.7481539E7)</f>
        <v>67481539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IFERROR(__xludf.DUMMYFUNCTION("""COMPUTED_VALUE"""),97.56)</f>
        <v>97.56</v>
      </c>
      <c r="C15" s="2">
        <f>IFERROR(__xludf.DUMMYFUNCTION("""COMPUTED_VALUE"""),97.78)</f>
        <v>97.78</v>
      </c>
      <c r="D15" s="2">
        <f>IFERROR(__xludf.DUMMYFUNCTION("""COMPUTED_VALUE"""),95.86)</f>
        <v>95.86</v>
      </c>
      <c r="E15" s="2">
        <f>IFERROR(__xludf.DUMMYFUNCTION("""COMPUTED_VALUE"""),97.52)</f>
        <v>97.52</v>
      </c>
      <c r="F15" s="2">
        <f>IFERROR(__xludf.DUMMYFUNCTION("""COMPUTED_VALUE"""),7.6501103E7)</f>
        <v>76501103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IFERROR(__xludf.DUMMYFUNCTION("""COMPUTED_VALUE"""),96.93)</f>
        <v>96.93</v>
      </c>
      <c r="C16" s="2">
        <f>IFERROR(__xludf.DUMMYFUNCTION("""COMPUTED_VALUE"""),98.09)</f>
        <v>98.09</v>
      </c>
      <c r="D16" s="2">
        <f>IFERROR(__xludf.DUMMYFUNCTION("""COMPUTED_VALUE"""),96.0)</f>
        <v>96</v>
      </c>
      <c r="E16" s="2">
        <f>IFERROR(__xludf.DUMMYFUNCTION("""COMPUTED_VALUE"""),96.32)</f>
        <v>96.32</v>
      </c>
      <c r="F16" s="2">
        <f>IFERROR(__xludf.DUMMYFUNCTION("""COMPUTED_VALUE"""),6.6929452E7)</f>
        <v>66929452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IFERROR(__xludf.DUMMYFUNCTION("""COMPUTED_VALUE"""),92.56)</f>
        <v>92.56</v>
      </c>
      <c r="C17" s="2">
        <f>IFERROR(__xludf.DUMMYFUNCTION("""COMPUTED_VALUE"""),97.24)</f>
        <v>97.24</v>
      </c>
      <c r="D17" s="2">
        <f>IFERROR(__xludf.DUMMYFUNCTION("""COMPUTED_VALUE"""),91.52)</f>
        <v>91.52</v>
      </c>
      <c r="E17" s="2">
        <f>IFERROR(__xludf.DUMMYFUNCTION("""COMPUTED_VALUE"""),97.18)</f>
        <v>97.18</v>
      </c>
      <c r="F17" s="2">
        <f>IFERROR(__xludf.DUMMYFUNCTION("""COMPUTED_VALUE"""),9.426157E7)</f>
        <v>94261570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IFERROR(__xludf.DUMMYFUNCTION("""COMPUTED_VALUE"""),98.24)</f>
        <v>98.24</v>
      </c>
      <c r="C18" s="2">
        <f>IFERROR(__xludf.DUMMYFUNCTION("""COMPUTED_VALUE"""),99.49)</f>
        <v>99.49</v>
      </c>
      <c r="D18" s="2">
        <f>IFERROR(__xludf.DUMMYFUNCTION("""COMPUTED_VALUE"""),96.92)</f>
        <v>96.92</v>
      </c>
      <c r="E18" s="2">
        <f>IFERROR(__xludf.DUMMYFUNCTION("""COMPUTED_VALUE"""),99.22)</f>
        <v>99.22</v>
      </c>
      <c r="F18" s="2">
        <f>IFERROR(__xludf.DUMMYFUNCTION("""COMPUTED_VALUE"""),6.8523557E7)</f>
        <v>68523557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IFERROR(__xludf.DUMMYFUNCTION("""COMPUTED_VALUE"""),99.53)</f>
        <v>99.53</v>
      </c>
      <c r="C19" s="2">
        <f>IFERROR(__xludf.DUMMYFUNCTION("""COMPUTED_VALUE"""),103.49)</f>
        <v>103.49</v>
      </c>
      <c r="D19" s="2">
        <f>IFERROR(__xludf.DUMMYFUNCTION("""COMPUTED_VALUE"""),99.53)</f>
        <v>99.53</v>
      </c>
      <c r="E19" s="2">
        <f>IFERROR(__xludf.DUMMYFUNCTION("""COMPUTED_VALUE"""),102.24)</f>
        <v>102.24</v>
      </c>
      <c r="F19" s="2">
        <f>IFERROR(__xludf.DUMMYFUNCTION("""COMPUTED_VALUE"""),8.7775614E7)</f>
        <v>87775614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IFERROR(__xludf.DUMMYFUNCTION("""COMPUTED_VALUE"""),101.09)</f>
        <v>101.09</v>
      </c>
      <c r="C20" s="2">
        <f>IFERROR(__xludf.DUMMYFUNCTION("""COMPUTED_VALUE"""),101.74)</f>
        <v>101.74</v>
      </c>
      <c r="D20" s="2">
        <f>IFERROR(__xludf.DUMMYFUNCTION("""COMPUTED_VALUE"""),99.01)</f>
        <v>99.01</v>
      </c>
      <c r="E20" s="2">
        <f>IFERROR(__xludf.DUMMYFUNCTION("""COMPUTED_VALUE"""),100.55)</f>
        <v>100.55</v>
      </c>
      <c r="F20" s="2">
        <f>IFERROR(__xludf.DUMMYFUNCTION("""COMPUTED_VALUE"""),7.069186E7)</f>
        <v>70691860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IFERROR(__xludf.DUMMYFUNCTION("""COMPUTED_VALUE"""),101.16)</f>
        <v>101.16</v>
      </c>
      <c r="C21" s="2">
        <f>IFERROR(__xludf.DUMMYFUNCTION("""COMPUTED_VALUE"""),103.35)</f>
        <v>103.35</v>
      </c>
      <c r="D21" s="2">
        <f>IFERROR(__xludf.DUMMYFUNCTION("""COMPUTED_VALUE"""),101.14)</f>
        <v>101.14</v>
      </c>
      <c r="E21" s="2">
        <f>IFERROR(__xludf.DUMMYFUNCTION("""COMPUTED_VALUE"""),103.13)</f>
        <v>103.13</v>
      </c>
      <c r="F21" s="2">
        <f>IFERROR(__xludf.DUMMYFUNCTION("""COMPUTED_VALUE"""),6.6527253E7)</f>
        <v>66527253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IFERROR(__xludf.DUMMYFUNCTION("""COMPUTED_VALUE"""),102.53)</f>
        <v>102.53</v>
      </c>
      <c r="C22" s="2">
        <f>IFERROR(__xludf.DUMMYFUNCTION("""COMPUTED_VALUE"""),106.24)</f>
        <v>106.24</v>
      </c>
      <c r="D22" s="2">
        <f>IFERROR(__xludf.DUMMYFUNCTION("""COMPUTED_VALUE"""),101.24)</f>
        <v>101.24</v>
      </c>
      <c r="E22" s="2">
        <f>IFERROR(__xludf.DUMMYFUNCTION("""COMPUTED_VALUE"""),105.15)</f>
        <v>105.15</v>
      </c>
      <c r="F22" s="2">
        <f>IFERROR(__xludf.DUMMYFUNCTION("""COMPUTED_VALUE"""),8.0450121E7)</f>
        <v>80450121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IFERROR(__xludf.DUMMYFUNCTION("""COMPUTED_VALUE"""),110.25)</f>
        <v>110.25</v>
      </c>
      <c r="C23" s="2">
        <f>IFERROR(__xludf.DUMMYFUNCTION("""COMPUTED_VALUE"""),114.0)</f>
        <v>114</v>
      </c>
      <c r="D23" s="2">
        <f>IFERROR(__xludf.DUMMYFUNCTION("""COMPUTED_VALUE"""),108.88)</f>
        <v>108.88</v>
      </c>
      <c r="E23" s="2">
        <f>IFERROR(__xludf.DUMMYFUNCTION("""COMPUTED_VALUE"""),112.91)</f>
        <v>112.91</v>
      </c>
      <c r="F23" s="2">
        <f>IFERROR(__xludf.DUMMYFUNCTION("""COMPUTED_VALUE"""),1.58154243E8)</f>
        <v>158154243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IFERROR(__xludf.DUMMYFUNCTION("""COMPUTED_VALUE"""),105.26)</f>
        <v>105.26</v>
      </c>
      <c r="C24" s="2">
        <f>IFERROR(__xludf.DUMMYFUNCTION("""COMPUTED_VALUE"""),108.78)</f>
        <v>108.78</v>
      </c>
      <c r="D24" s="2">
        <f>IFERROR(__xludf.DUMMYFUNCTION("""COMPUTED_VALUE"""),102.52)</f>
        <v>102.52</v>
      </c>
      <c r="E24" s="2">
        <f>IFERROR(__xludf.DUMMYFUNCTION("""COMPUTED_VALUE"""),103.39)</f>
        <v>103.39</v>
      </c>
      <c r="F24" s="2">
        <f>IFERROR(__xludf.DUMMYFUNCTION("""COMPUTED_VALUE"""),1.44374828E8)</f>
        <v>144374828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IFERROR(__xludf.DUMMYFUNCTION("""COMPUTED_VALUE"""),102.93)</f>
        <v>102.93</v>
      </c>
      <c r="C25" s="2">
        <f>IFERROR(__xludf.DUMMYFUNCTION("""COMPUTED_VALUE"""),103.95)</f>
        <v>103.95</v>
      </c>
      <c r="D25" s="2">
        <f>IFERROR(__xludf.DUMMYFUNCTION("""COMPUTED_VALUE"""),100.65)</f>
        <v>100.65</v>
      </c>
      <c r="E25" s="2">
        <f>IFERROR(__xludf.DUMMYFUNCTION("""COMPUTED_VALUE"""),102.18)</f>
        <v>102.18</v>
      </c>
      <c r="F25" s="2">
        <f>IFERROR(__xludf.DUMMYFUNCTION("""COMPUTED_VALUE"""),8.1945199E7)</f>
        <v>81945199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IFERROR(__xludf.DUMMYFUNCTION("""COMPUTED_VALUE"""),101.17)</f>
        <v>101.17</v>
      </c>
      <c r="C26" s="2">
        <f>IFERROR(__xludf.DUMMYFUNCTION("""COMPUTED_VALUE"""),102.41)</f>
        <v>102.41</v>
      </c>
      <c r="D26" s="2">
        <f>IFERROR(__xludf.DUMMYFUNCTION("""COMPUTED_VALUE"""),98.08)</f>
        <v>98.08</v>
      </c>
      <c r="E26" s="2">
        <f>IFERROR(__xludf.DUMMYFUNCTION("""COMPUTED_VALUE"""),102.11)</f>
        <v>102.11</v>
      </c>
      <c r="F26" s="2">
        <f>IFERROR(__xludf.DUMMYFUNCTION("""COMPUTED_VALUE"""),1.19501301E8)</f>
        <v>119501301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IFERROR(__xludf.DUMMYFUNCTION("""COMPUTED_VALUE"""),102.04)</f>
        <v>102.04</v>
      </c>
      <c r="C27" s="2">
        <f>IFERROR(__xludf.DUMMYFUNCTION("""COMPUTED_VALUE"""),102.67)</f>
        <v>102.67</v>
      </c>
      <c r="D27" s="2">
        <f>IFERROR(__xludf.DUMMYFUNCTION("""COMPUTED_VALUE"""),98.78)</f>
        <v>98.78</v>
      </c>
      <c r="E27" s="2">
        <f>IFERROR(__xludf.DUMMYFUNCTION("""COMPUTED_VALUE"""),100.05)</f>
        <v>100.05</v>
      </c>
      <c r="F27" s="2">
        <f>IFERROR(__xludf.DUMMYFUNCTION("""COMPUTED_VALUE"""),7.5878304E7)</f>
        <v>75878304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IFERROR(__xludf.DUMMYFUNCTION("""COMPUTED_VALUE"""),101.32)</f>
        <v>101.32</v>
      </c>
      <c r="C28" s="2">
        <f>IFERROR(__xludf.DUMMYFUNCTION("""COMPUTED_VALUE"""),101.78)</f>
        <v>101.78</v>
      </c>
      <c r="D28" s="2">
        <f>IFERROR(__xludf.DUMMYFUNCTION("""COMPUTED_VALUE"""),97.57)</f>
        <v>97.57</v>
      </c>
      <c r="E28" s="2">
        <f>IFERROR(__xludf.DUMMYFUNCTION("""COMPUTED_VALUE"""),98.24)</f>
        <v>98.24</v>
      </c>
      <c r="F28" s="2">
        <f>IFERROR(__xludf.DUMMYFUNCTION("""COMPUTED_VALUE"""),6.4622489E7)</f>
        <v>64622489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IFERROR(__xludf.DUMMYFUNCTION("""COMPUTED_VALUE"""),97.56)</f>
        <v>97.56</v>
      </c>
      <c r="C29" s="2">
        <f>IFERROR(__xludf.DUMMYFUNCTION("""COMPUTED_VALUE"""),98.82)</f>
        <v>98.82</v>
      </c>
      <c r="D29" s="2">
        <f>IFERROR(__xludf.DUMMYFUNCTION("""COMPUTED_VALUE"""),96.23)</f>
        <v>96.23</v>
      </c>
      <c r="E29" s="2">
        <f>IFERROR(__xludf.DUMMYFUNCTION("""COMPUTED_VALUE"""),97.61)</f>
        <v>97.61</v>
      </c>
      <c r="F29" s="2">
        <f>IFERROR(__xludf.DUMMYFUNCTION("""COMPUTED_VALUE"""),5.2740133E7)</f>
        <v>52740133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IFERROR(__xludf.DUMMYFUNCTION("""COMPUTED_VALUE"""),97.85)</f>
        <v>97.85</v>
      </c>
      <c r="C30" s="2">
        <f>IFERROR(__xludf.DUMMYFUNCTION("""COMPUTED_VALUE"""),99.68)</f>
        <v>99.68</v>
      </c>
      <c r="D30" s="2">
        <f>IFERROR(__xludf.DUMMYFUNCTION("""COMPUTED_VALUE"""),96.91)</f>
        <v>96.91</v>
      </c>
      <c r="E30" s="2">
        <f>IFERROR(__xludf.DUMMYFUNCTION("""COMPUTED_VALUE"""),99.54)</f>
        <v>99.54</v>
      </c>
      <c r="F30" s="2">
        <f>IFERROR(__xludf.DUMMYFUNCTION("""COMPUTED_VALUE"""),5.2841464E7)</f>
        <v>52841464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IFERROR(__xludf.DUMMYFUNCTION("""COMPUTED_VALUE"""),98.41)</f>
        <v>98.41</v>
      </c>
      <c r="C31" s="2">
        <f>IFERROR(__xludf.DUMMYFUNCTION("""COMPUTED_VALUE"""),100.92)</f>
        <v>100.92</v>
      </c>
      <c r="D31" s="2">
        <f>IFERROR(__xludf.DUMMYFUNCTION("""COMPUTED_VALUE"""),97.52)</f>
        <v>97.52</v>
      </c>
      <c r="E31" s="2">
        <f>IFERROR(__xludf.DUMMYFUNCTION("""COMPUTED_VALUE"""),99.7)</f>
        <v>99.7</v>
      </c>
      <c r="F31" s="2">
        <f>IFERROR(__xludf.DUMMYFUNCTION("""COMPUTED_VALUE"""),5.6202898E7)</f>
        <v>56202898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IFERROR(__xludf.DUMMYFUNCTION("""COMPUTED_VALUE"""),99.09)</f>
        <v>99.09</v>
      </c>
      <c r="C32" s="2">
        <f>IFERROR(__xludf.DUMMYFUNCTION("""COMPUTED_VALUE"""),101.17)</f>
        <v>101.17</v>
      </c>
      <c r="D32" s="2">
        <f>IFERROR(__xludf.DUMMYFUNCTION("""COMPUTED_VALUE"""),98.45)</f>
        <v>98.45</v>
      </c>
      <c r="E32" s="2">
        <f>IFERROR(__xludf.DUMMYFUNCTION("""COMPUTED_VALUE"""),101.16)</f>
        <v>101.16</v>
      </c>
      <c r="F32" s="2">
        <f>IFERROR(__xludf.DUMMYFUNCTION("""COMPUTED_VALUE"""),4.8053879E7)</f>
        <v>48053879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IFERROR(__xludf.DUMMYFUNCTION("""COMPUTED_VALUE"""),99.21)</f>
        <v>99.21</v>
      </c>
      <c r="C33" s="2">
        <f>IFERROR(__xludf.DUMMYFUNCTION("""COMPUTED_VALUE"""),100.63)</f>
        <v>100.63</v>
      </c>
      <c r="D33" s="2">
        <f>IFERROR(__xludf.DUMMYFUNCTION("""COMPUTED_VALUE"""),98.1)</f>
        <v>98.1</v>
      </c>
      <c r="E33" s="2">
        <f>IFERROR(__xludf.DUMMYFUNCTION("""COMPUTED_VALUE"""),98.15)</f>
        <v>98.15</v>
      </c>
      <c r="F33" s="2">
        <f>IFERROR(__xludf.DUMMYFUNCTION("""COMPUTED_VALUE"""),5.6339173E7)</f>
        <v>56339173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IFERROR(__xludf.DUMMYFUNCTION("""COMPUTED_VALUE"""),97.8)</f>
        <v>97.8</v>
      </c>
      <c r="C34" s="2">
        <f>IFERROR(__xludf.DUMMYFUNCTION("""COMPUTED_VALUE"""),97.94)</f>
        <v>97.94</v>
      </c>
      <c r="D34" s="2">
        <f>IFERROR(__xludf.DUMMYFUNCTION("""COMPUTED_VALUE"""),95.65)</f>
        <v>95.65</v>
      </c>
      <c r="E34" s="2">
        <f>IFERROR(__xludf.DUMMYFUNCTION("""COMPUTED_VALUE"""),97.2)</f>
        <v>97.2</v>
      </c>
      <c r="F34" s="2">
        <f>IFERROR(__xludf.DUMMYFUNCTION("""COMPUTED_VALUE"""),6.0029405E7)</f>
        <v>60029405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IFERROR(__xludf.DUMMYFUNCTION("""COMPUTED_VALUE"""),95.34)</f>
        <v>95.34</v>
      </c>
      <c r="C35" s="2">
        <f>IFERROR(__xludf.DUMMYFUNCTION("""COMPUTED_VALUE"""),95.61)</f>
        <v>95.61</v>
      </c>
      <c r="D35" s="2">
        <f>IFERROR(__xludf.DUMMYFUNCTION("""COMPUTED_VALUE"""),94.27)</f>
        <v>94.27</v>
      </c>
      <c r="E35" s="2">
        <f>IFERROR(__xludf.DUMMYFUNCTION("""COMPUTED_VALUE"""),94.58)</f>
        <v>94.58</v>
      </c>
      <c r="F35" s="2">
        <f>IFERROR(__xludf.DUMMYFUNCTION("""COMPUTED_VALUE"""),5.658036E7)</f>
        <v>56580360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IFERROR(__xludf.DUMMYFUNCTION("""COMPUTED_VALUE"""),95.1)</f>
        <v>95.1</v>
      </c>
      <c r="C36" s="2">
        <f>IFERROR(__xludf.DUMMYFUNCTION("""COMPUTED_VALUE"""),97.01)</f>
        <v>97.01</v>
      </c>
      <c r="D36" s="2">
        <f>IFERROR(__xludf.DUMMYFUNCTION("""COMPUTED_VALUE"""),94.8)</f>
        <v>94.8</v>
      </c>
      <c r="E36" s="2">
        <f>IFERROR(__xludf.DUMMYFUNCTION("""COMPUTED_VALUE"""),95.79)</f>
        <v>95.79</v>
      </c>
      <c r="F36" s="2">
        <f>IFERROR(__xludf.DUMMYFUNCTION("""COMPUTED_VALUE"""),5.9534094E7)</f>
        <v>59534094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IFERROR(__xludf.DUMMYFUNCTION("""COMPUTED_VALUE"""),96.12)</f>
        <v>96.12</v>
      </c>
      <c r="C37" s="2">
        <f>IFERROR(__xludf.DUMMYFUNCTION("""COMPUTED_VALUE"""),96.43)</f>
        <v>96.43</v>
      </c>
      <c r="D37" s="2">
        <f>IFERROR(__xludf.DUMMYFUNCTION("""COMPUTED_VALUE"""),93.67)</f>
        <v>93.67</v>
      </c>
      <c r="E37" s="2">
        <f>IFERROR(__xludf.DUMMYFUNCTION("""COMPUTED_VALUE"""),95.82)</f>
        <v>95.82</v>
      </c>
      <c r="F37" s="2">
        <f>IFERROR(__xludf.DUMMYFUNCTION("""COMPUTED_VALUE"""),4.8466994E7)</f>
        <v>48466994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IFERROR(__xludf.DUMMYFUNCTION("""COMPUTED_VALUE"""),93.53)</f>
        <v>93.53</v>
      </c>
      <c r="C38" s="2">
        <f>IFERROR(__xludf.DUMMYFUNCTION("""COMPUTED_VALUE"""),94.14)</f>
        <v>94.14</v>
      </c>
      <c r="D38" s="2">
        <f>IFERROR(__xludf.DUMMYFUNCTION("""COMPUTED_VALUE"""),92.32)</f>
        <v>92.32</v>
      </c>
      <c r="E38" s="2">
        <f>IFERROR(__xludf.DUMMYFUNCTION("""COMPUTED_VALUE"""),93.5)</f>
        <v>93.5</v>
      </c>
      <c r="F38" s="2">
        <f>IFERROR(__xludf.DUMMYFUNCTION("""COMPUTED_VALUE"""),5.7053812E7)</f>
        <v>57053812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IFERROR(__xludf.DUMMYFUNCTION("""COMPUTED_VALUE"""),94.28)</f>
        <v>94.28</v>
      </c>
      <c r="C39" s="2">
        <f>IFERROR(__xludf.DUMMYFUNCTION("""COMPUTED_VALUE"""),94.78)</f>
        <v>94.78</v>
      </c>
      <c r="D39" s="2">
        <f>IFERROR(__xludf.DUMMYFUNCTION("""COMPUTED_VALUE"""),93.14)</f>
        <v>93.14</v>
      </c>
      <c r="E39" s="2">
        <f>IFERROR(__xludf.DUMMYFUNCTION("""COMPUTED_VALUE"""),93.76)</f>
        <v>93.76</v>
      </c>
      <c r="F39" s="2">
        <f>IFERROR(__xludf.DUMMYFUNCTION("""COMPUTED_VALUE"""),4.7470321E7)</f>
        <v>47470321</v>
      </c>
    </row>
    <row r="40">
      <c r="A40" s="3">
        <f>IFERROR(__xludf.DUMMYFUNCTION("""COMPUTED_VALUE"""),44985.66666666667)</f>
        <v>44985.66667</v>
      </c>
      <c r="B40" s="2">
        <f>IFERROR(__xludf.DUMMYFUNCTION("""COMPUTED_VALUE"""),93.14)</f>
        <v>93.14</v>
      </c>
      <c r="C40" s="2">
        <f>IFERROR(__xludf.DUMMYFUNCTION("""COMPUTED_VALUE"""),94.69)</f>
        <v>94.69</v>
      </c>
      <c r="D40" s="2">
        <f>IFERROR(__xludf.DUMMYFUNCTION("""COMPUTED_VALUE"""),92.92)</f>
        <v>92.92</v>
      </c>
      <c r="E40" s="2">
        <f>IFERROR(__xludf.DUMMYFUNCTION("""COMPUTED_VALUE"""),94.23)</f>
        <v>94.23</v>
      </c>
      <c r="F40" s="2">
        <f>IFERROR(__xludf.DUMMYFUNCTION("""COMPUTED_VALUE"""),4.395929E7)</f>
        <v>43959290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IFERROR(__xludf.DUMMYFUNCTION("""COMPUTED_VALUE"""),93.87)</f>
        <v>93.87</v>
      </c>
      <c r="C41" s="2">
        <f>IFERROR(__xludf.DUMMYFUNCTION("""COMPUTED_VALUE"""),94.68)</f>
        <v>94.68</v>
      </c>
      <c r="D41" s="2">
        <f>IFERROR(__xludf.DUMMYFUNCTION("""COMPUTED_VALUE"""),91.59)</f>
        <v>91.59</v>
      </c>
      <c r="E41" s="2">
        <f>IFERROR(__xludf.DUMMYFUNCTION("""COMPUTED_VALUE"""),92.17)</f>
        <v>92.17</v>
      </c>
      <c r="F41" s="2">
        <f>IFERROR(__xludf.DUMMYFUNCTION("""COMPUTED_VALUE"""),5.2299524E7)</f>
        <v>52299524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IFERROR(__xludf.DUMMYFUNCTION("""COMPUTED_VALUE"""),91.41)</f>
        <v>91.41</v>
      </c>
      <c r="C42" s="2">
        <f>IFERROR(__xludf.DUMMYFUNCTION("""COMPUTED_VALUE"""),92.23)</f>
        <v>92.23</v>
      </c>
      <c r="D42" s="2">
        <f>IFERROR(__xludf.DUMMYFUNCTION("""COMPUTED_VALUE"""),90.39)</f>
        <v>90.39</v>
      </c>
      <c r="E42" s="2">
        <f>IFERROR(__xludf.DUMMYFUNCTION("""COMPUTED_VALUE"""),92.13)</f>
        <v>92.13</v>
      </c>
      <c r="F42" s="2">
        <f>IFERROR(__xludf.DUMMYFUNCTION("""COMPUTED_VALUE"""),5.557482E7)</f>
        <v>55574820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IFERROR(__xludf.DUMMYFUNCTION("""COMPUTED_VALUE"""),94.94)</f>
        <v>94.94</v>
      </c>
      <c r="D43" s="2">
        <f>IFERROR(__xludf.DUMMYFUNCTION("""COMPUTED_VALUE"""),92.66)</f>
        <v>92.66</v>
      </c>
      <c r="E43" s="2">
        <f>IFERROR(__xludf.DUMMYFUNCTION("""COMPUTED_VALUE"""),94.9)</f>
        <v>94.9</v>
      </c>
      <c r="F43" s="2">
        <f>IFERROR(__xludf.DUMMYFUNCTION("""COMPUTED_VALUE"""),5.5759609E7)</f>
        <v>55759609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IFERROR(__xludf.DUMMYFUNCTION("""COMPUTED_VALUE"""),95.19)</f>
        <v>95.19</v>
      </c>
      <c r="C44" s="2">
        <f>IFERROR(__xludf.DUMMYFUNCTION("""COMPUTED_VALUE"""),96.55)</f>
        <v>96.55</v>
      </c>
      <c r="D44" s="2">
        <f>IFERROR(__xludf.DUMMYFUNCTION("""COMPUTED_VALUE"""),93.74)</f>
        <v>93.74</v>
      </c>
      <c r="E44" s="2">
        <f>IFERROR(__xludf.DUMMYFUNCTION("""COMPUTED_VALUE"""),93.75)</f>
        <v>93.75</v>
      </c>
      <c r="F44" s="2">
        <f>IFERROR(__xludf.DUMMYFUNCTION("""COMPUTED_VALUE"""),5.2112355E7)</f>
        <v>52112355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IFERROR(__xludf.DUMMYFUNCTION("""COMPUTED_VALUE"""),94.06)</f>
        <v>94.06</v>
      </c>
      <c r="C45" s="2">
        <f>IFERROR(__xludf.DUMMYFUNCTION("""COMPUTED_VALUE"""),95.09)</f>
        <v>95.09</v>
      </c>
      <c r="D45" s="2">
        <f>IFERROR(__xludf.DUMMYFUNCTION("""COMPUTED_VALUE"""),92.78)</f>
        <v>92.78</v>
      </c>
      <c r="E45" s="2">
        <f>IFERROR(__xludf.DUMMYFUNCTION("""COMPUTED_VALUE"""),93.55)</f>
        <v>93.55</v>
      </c>
      <c r="F45" s="2">
        <f>IFERROR(__xludf.DUMMYFUNCTION("""COMPUTED_VALUE"""),4.9100668E7)</f>
        <v>49100668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IFERROR(__xludf.DUMMYFUNCTION("""COMPUTED_VALUE"""),93.6)</f>
        <v>93.6</v>
      </c>
      <c r="C46" s="2">
        <f>IFERROR(__xludf.DUMMYFUNCTION("""COMPUTED_VALUE"""),94.17)</f>
        <v>94.17</v>
      </c>
      <c r="D46" s="2">
        <f>IFERROR(__xludf.DUMMYFUNCTION("""COMPUTED_VALUE"""),92.18)</f>
        <v>92.18</v>
      </c>
      <c r="E46" s="2">
        <f>IFERROR(__xludf.DUMMYFUNCTION("""COMPUTED_VALUE"""),93.92)</f>
        <v>93.92</v>
      </c>
      <c r="F46" s="2">
        <f>IFERROR(__xludf.DUMMYFUNCTION("""COMPUTED_VALUE"""),4.4899128E7)</f>
        <v>44899128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IFERROR(__xludf.DUMMYFUNCTION("""COMPUTED_VALUE"""),93.68)</f>
        <v>93.68</v>
      </c>
      <c r="C47" s="2">
        <f>IFERROR(__xludf.DUMMYFUNCTION("""COMPUTED_VALUE"""),96.21)</f>
        <v>96.21</v>
      </c>
      <c r="D47" s="2">
        <f>IFERROR(__xludf.DUMMYFUNCTION("""COMPUTED_VALUE"""),92.18)</f>
        <v>92.18</v>
      </c>
      <c r="E47" s="2">
        <f>IFERROR(__xludf.DUMMYFUNCTION("""COMPUTED_VALUE"""),92.25)</f>
        <v>92.25</v>
      </c>
      <c r="F47" s="2">
        <f>IFERROR(__xludf.DUMMYFUNCTION("""COMPUTED_VALUE"""),5.6218705E7)</f>
        <v>56218705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IFERROR(__xludf.DUMMYFUNCTION("""COMPUTED_VALUE"""),92.67)</f>
        <v>92.67</v>
      </c>
      <c r="C48" s="2">
        <f>IFERROR(__xludf.DUMMYFUNCTION("""COMPUTED_VALUE"""),93.57)</f>
        <v>93.57</v>
      </c>
      <c r="D48" s="2">
        <f>IFERROR(__xludf.DUMMYFUNCTION("""COMPUTED_VALUE"""),90.25)</f>
        <v>90.25</v>
      </c>
      <c r="E48" s="2">
        <f>IFERROR(__xludf.DUMMYFUNCTION("""COMPUTED_VALUE"""),90.73)</f>
        <v>90.73</v>
      </c>
      <c r="F48" s="2">
        <f>IFERROR(__xludf.DUMMYFUNCTION("""COMPUTED_VALUE"""),6.982749E7)</f>
        <v>69827490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IFERROR(__xludf.DUMMYFUNCTION("""COMPUTED_VALUE"""),89.97)</f>
        <v>89.97</v>
      </c>
      <c r="C49" s="2">
        <f>IFERROR(__xludf.DUMMYFUNCTION("""COMPUTED_VALUE"""),94.02)</f>
        <v>94.02</v>
      </c>
      <c r="D49" s="2">
        <f>IFERROR(__xludf.DUMMYFUNCTION("""COMPUTED_VALUE"""),88.12)</f>
        <v>88.12</v>
      </c>
      <c r="E49" s="2">
        <f>IFERROR(__xludf.DUMMYFUNCTION("""COMPUTED_VALUE"""),92.43)</f>
        <v>92.43</v>
      </c>
      <c r="F49" s="2">
        <f>IFERROR(__xludf.DUMMYFUNCTION("""COMPUTED_VALUE"""),7.2397053E7)</f>
        <v>72397053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IFERROR(__xludf.DUMMYFUNCTION("""COMPUTED_VALUE"""),93.83)</f>
        <v>93.83</v>
      </c>
      <c r="C50" s="2">
        <f>IFERROR(__xludf.DUMMYFUNCTION("""COMPUTED_VALUE"""),95.07)</f>
        <v>95.07</v>
      </c>
      <c r="D50" s="2">
        <f>IFERROR(__xludf.DUMMYFUNCTION("""COMPUTED_VALUE"""),92.71)</f>
        <v>92.71</v>
      </c>
      <c r="E50" s="2">
        <f>IFERROR(__xludf.DUMMYFUNCTION("""COMPUTED_VALUE"""),94.88)</f>
        <v>94.88</v>
      </c>
      <c r="F50" s="2">
        <f>IFERROR(__xludf.DUMMYFUNCTION("""COMPUTED_VALUE"""),6.0912674E7)</f>
        <v>60912674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IFERROR(__xludf.DUMMYFUNCTION("""COMPUTED_VALUE"""),93.22)</f>
        <v>93.22</v>
      </c>
      <c r="C51" s="2">
        <f>IFERROR(__xludf.DUMMYFUNCTION("""COMPUTED_VALUE"""),96.67)</f>
        <v>96.67</v>
      </c>
      <c r="D51" s="2">
        <f>IFERROR(__xludf.DUMMYFUNCTION("""COMPUTED_VALUE"""),93.07)</f>
        <v>93.07</v>
      </c>
      <c r="E51" s="2">
        <f>IFERROR(__xludf.DUMMYFUNCTION("""COMPUTED_VALUE"""),96.2)</f>
        <v>96.2</v>
      </c>
      <c r="F51" s="2">
        <f>IFERROR(__xludf.DUMMYFUNCTION("""COMPUTED_VALUE"""),7.0731792E7)</f>
        <v>70731792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IFERROR(__xludf.DUMMYFUNCTION("""COMPUTED_VALUE"""),95.75)</f>
        <v>95.75</v>
      </c>
      <c r="C52" s="2">
        <f>IFERROR(__xludf.DUMMYFUNCTION("""COMPUTED_VALUE"""),100.99)</f>
        <v>100.99</v>
      </c>
      <c r="D52" s="2">
        <f>IFERROR(__xludf.DUMMYFUNCTION("""COMPUTED_VALUE"""),95.61)</f>
        <v>95.61</v>
      </c>
      <c r="E52" s="2">
        <f>IFERROR(__xludf.DUMMYFUNCTION("""COMPUTED_VALUE"""),100.04)</f>
        <v>100.04</v>
      </c>
      <c r="F52" s="2">
        <f>IFERROR(__xludf.DUMMYFUNCTION("""COMPUTED_VALUE"""),8.4558934E7)</f>
        <v>84558934</v>
      </c>
    </row>
    <row r="53">
      <c r="A53" s="3">
        <f>IFERROR(__xludf.DUMMYFUNCTION("""COMPUTED_VALUE"""),45002.66666666667)</f>
        <v>45002.66667</v>
      </c>
      <c r="B53" s="2">
        <f>IFERROR(__xludf.DUMMYFUNCTION("""COMPUTED_VALUE"""),99.79)</f>
        <v>99.79</v>
      </c>
      <c r="C53" s="2">
        <f>IFERROR(__xludf.DUMMYFUNCTION("""COMPUTED_VALUE"""),100.66)</f>
        <v>100.66</v>
      </c>
      <c r="D53" s="2">
        <f>IFERROR(__xludf.DUMMYFUNCTION("""COMPUTED_VALUE"""),97.46)</f>
        <v>97.46</v>
      </c>
      <c r="E53" s="2">
        <f>IFERROR(__xludf.DUMMYFUNCTION("""COMPUTED_VALUE"""),98.95)</f>
        <v>98.95</v>
      </c>
      <c r="F53" s="2">
        <f>IFERROR(__xludf.DUMMYFUNCTION("""COMPUTED_VALUE"""),8.7300242E7)</f>
        <v>87300242</v>
      </c>
    </row>
    <row r="54">
      <c r="A54" s="3">
        <f>IFERROR(__xludf.DUMMYFUNCTION("""COMPUTED_VALUE"""),45005.66666666667)</f>
        <v>45005.66667</v>
      </c>
      <c r="B54" s="2">
        <f>IFERROR(__xludf.DUMMYFUNCTION("""COMPUTED_VALUE"""),98.41)</f>
        <v>98.41</v>
      </c>
      <c r="C54" s="2">
        <f>IFERROR(__xludf.DUMMYFUNCTION("""COMPUTED_VALUE"""),98.48)</f>
        <v>98.48</v>
      </c>
      <c r="D54" s="2">
        <f>IFERROR(__xludf.DUMMYFUNCTION("""COMPUTED_VALUE"""),95.7)</f>
        <v>95.7</v>
      </c>
      <c r="E54" s="2">
        <f>IFERROR(__xludf.DUMMYFUNCTION("""COMPUTED_VALUE"""),97.71)</f>
        <v>97.71</v>
      </c>
      <c r="F54" s="2">
        <f>IFERROR(__xludf.DUMMYFUNCTION("""COMPUTED_VALUE"""),6.2388911E7)</f>
        <v>62388911</v>
      </c>
    </row>
    <row r="55">
      <c r="A55" s="3">
        <f>IFERROR(__xludf.DUMMYFUNCTION("""COMPUTED_VALUE"""),45006.66666666667)</f>
        <v>45006.66667</v>
      </c>
      <c r="B55" s="2">
        <f>IFERROR(__xludf.DUMMYFUNCTION("""COMPUTED_VALUE"""),98.14)</f>
        <v>98.14</v>
      </c>
      <c r="C55" s="2">
        <f>IFERROR(__xludf.DUMMYFUNCTION("""COMPUTED_VALUE"""),100.85)</f>
        <v>100.85</v>
      </c>
      <c r="D55" s="2">
        <f>IFERROR(__xludf.DUMMYFUNCTION("""COMPUTED_VALUE"""),98.0)</f>
        <v>98</v>
      </c>
      <c r="E55" s="2">
        <f>IFERROR(__xludf.DUMMYFUNCTION("""COMPUTED_VALUE"""),100.61)</f>
        <v>100.61</v>
      </c>
      <c r="F55" s="2">
        <f>IFERROR(__xludf.DUMMYFUNCTION("""COMPUTED_VALUE"""),5.8597275E7)</f>
        <v>58597275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IFERROR(__xludf.DUMMYFUNCTION("""COMPUTED_VALUE"""),100.45)</f>
        <v>100.45</v>
      </c>
      <c r="C56" s="2">
        <f>IFERROR(__xludf.DUMMYFUNCTION("""COMPUTED_VALUE"""),102.1)</f>
        <v>102.1</v>
      </c>
      <c r="D56" s="2">
        <f>IFERROR(__xludf.DUMMYFUNCTION("""COMPUTED_VALUE"""),98.61)</f>
        <v>98.61</v>
      </c>
      <c r="E56" s="2">
        <f>IFERROR(__xludf.DUMMYFUNCTION("""COMPUTED_VALUE"""),98.7)</f>
        <v>98.7</v>
      </c>
      <c r="F56" s="2">
        <f>IFERROR(__xludf.DUMMYFUNCTION("""COMPUTED_VALUE"""),5.7475365E7)</f>
        <v>57475365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IFERROR(__xludf.DUMMYFUNCTION("""COMPUTED_VALUE"""),100.43)</f>
        <v>100.43</v>
      </c>
      <c r="C57" s="2">
        <f>IFERROR(__xludf.DUMMYFUNCTION("""COMPUTED_VALUE"""),101.06)</f>
        <v>101.06</v>
      </c>
      <c r="D57" s="2">
        <f>IFERROR(__xludf.DUMMYFUNCTION("""COMPUTED_VALUE"""),97.62)</f>
        <v>97.62</v>
      </c>
      <c r="E57" s="2">
        <f>IFERROR(__xludf.DUMMYFUNCTION("""COMPUTED_VALUE"""),98.71)</f>
        <v>98.71</v>
      </c>
      <c r="F57" s="2">
        <f>IFERROR(__xludf.DUMMYFUNCTION("""COMPUTED_VALUE"""),5.755931E7)</f>
        <v>57559310</v>
      </c>
    </row>
    <row r="58">
      <c r="A58" s="3">
        <f>IFERROR(__xludf.DUMMYFUNCTION("""COMPUTED_VALUE"""),45009.66666666667)</f>
        <v>45009.66667</v>
      </c>
      <c r="B58" s="2">
        <f>IFERROR(__xludf.DUMMYFUNCTION("""COMPUTED_VALUE"""),98.07)</f>
        <v>98.07</v>
      </c>
      <c r="C58" s="2">
        <f>IFERROR(__xludf.DUMMYFUNCTION("""COMPUTED_VALUE"""),98.3)</f>
        <v>98.3</v>
      </c>
      <c r="D58" s="2">
        <f>IFERROR(__xludf.DUMMYFUNCTION("""COMPUTED_VALUE"""),96.4)</f>
        <v>96.4</v>
      </c>
      <c r="E58" s="2">
        <f>IFERROR(__xludf.DUMMYFUNCTION("""COMPUTED_VALUE"""),98.13)</f>
        <v>98.13</v>
      </c>
      <c r="F58" s="2">
        <f>IFERROR(__xludf.DUMMYFUNCTION("""COMPUTED_VALUE"""),5.6144801E7)</f>
        <v>56144801</v>
      </c>
    </row>
    <row r="59">
      <c r="A59" s="3">
        <f>IFERROR(__xludf.DUMMYFUNCTION("""COMPUTED_VALUE"""),45012.66666666667)</f>
        <v>45012.66667</v>
      </c>
      <c r="B59" s="2">
        <f>IFERROR(__xludf.DUMMYFUNCTION("""COMPUTED_VALUE"""),99.07)</f>
        <v>99.07</v>
      </c>
      <c r="C59" s="2">
        <f>IFERROR(__xludf.DUMMYFUNCTION("""COMPUTED_VALUE"""),99.34)</f>
        <v>99.34</v>
      </c>
      <c r="D59" s="2">
        <f>IFERROR(__xludf.DUMMYFUNCTION("""COMPUTED_VALUE"""),97.08)</f>
        <v>97.08</v>
      </c>
      <c r="E59" s="2">
        <f>IFERROR(__xludf.DUMMYFUNCTION("""COMPUTED_VALUE"""),98.04)</f>
        <v>98.04</v>
      </c>
      <c r="F59" s="2">
        <f>IFERROR(__xludf.DUMMYFUNCTION("""COMPUTED_VALUE"""),4.6721296E7)</f>
        <v>46721296</v>
      </c>
    </row>
    <row r="60">
      <c r="A60" s="3">
        <f>IFERROR(__xludf.DUMMYFUNCTION("""COMPUTED_VALUE"""),45013.66666666667)</f>
        <v>45013.66667</v>
      </c>
      <c r="B60" s="2">
        <f>IFERROR(__xludf.DUMMYFUNCTION("""COMPUTED_VALUE"""),98.11)</f>
        <v>98.11</v>
      </c>
      <c r="C60" s="2">
        <f>IFERROR(__xludf.DUMMYFUNCTION("""COMPUTED_VALUE"""),98.44)</f>
        <v>98.44</v>
      </c>
      <c r="D60" s="2">
        <f>IFERROR(__xludf.DUMMYFUNCTION("""COMPUTED_VALUE"""),96.29)</f>
        <v>96.29</v>
      </c>
      <c r="E60" s="2">
        <f>IFERROR(__xludf.DUMMYFUNCTION("""COMPUTED_VALUE"""),97.24)</f>
        <v>97.24</v>
      </c>
      <c r="F60" s="2">
        <f>IFERROR(__xludf.DUMMYFUNCTION("""COMPUTED_VALUE"""),3.872005E7)</f>
        <v>38720050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IFERROR(__xludf.DUMMYFUNCTION("""COMPUTED_VALUE"""),98.69)</f>
        <v>98.69</v>
      </c>
      <c r="C61" s="2">
        <f>IFERROR(__xludf.DUMMYFUNCTION("""COMPUTED_VALUE"""),100.42)</f>
        <v>100.42</v>
      </c>
      <c r="D61" s="2">
        <f>IFERROR(__xludf.DUMMYFUNCTION("""COMPUTED_VALUE"""),98.56)</f>
        <v>98.56</v>
      </c>
      <c r="E61" s="2">
        <f>IFERROR(__xludf.DUMMYFUNCTION("""COMPUTED_VALUE"""),100.25)</f>
        <v>100.25</v>
      </c>
      <c r="F61" s="2">
        <f>IFERROR(__xludf.DUMMYFUNCTION("""COMPUTED_VALUE"""),4.9783279E7)</f>
        <v>49783279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IFERROR(__xludf.DUMMYFUNCTION("""COMPUTED_VALUE"""),101.55)</f>
        <v>101.55</v>
      </c>
      <c r="C62" s="2">
        <f>IFERROR(__xludf.DUMMYFUNCTION("""COMPUTED_VALUE"""),103.04)</f>
        <v>103.04</v>
      </c>
      <c r="D62" s="2">
        <f>IFERROR(__xludf.DUMMYFUNCTION("""COMPUTED_VALUE"""),101.01)</f>
        <v>101.01</v>
      </c>
      <c r="E62" s="2">
        <f>IFERROR(__xludf.DUMMYFUNCTION("""COMPUTED_VALUE"""),102.0)</f>
        <v>102</v>
      </c>
      <c r="F62" s="2">
        <f>IFERROR(__xludf.DUMMYFUNCTION("""COMPUTED_VALUE"""),5.3633398E7)</f>
        <v>53633398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IFERROR(__xludf.DUMMYFUNCTION("""COMPUTED_VALUE"""),102.16)</f>
        <v>102.16</v>
      </c>
      <c r="C63" s="2">
        <f>IFERROR(__xludf.DUMMYFUNCTION("""COMPUTED_VALUE"""),103.49)</f>
        <v>103.49</v>
      </c>
      <c r="D63" s="2">
        <f>IFERROR(__xludf.DUMMYFUNCTION("""COMPUTED_VALUE"""),101.95)</f>
        <v>101.95</v>
      </c>
      <c r="E63" s="2">
        <f>IFERROR(__xludf.DUMMYFUNCTION("""COMPUTED_VALUE"""),103.29)</f>
        <v>103.29</v>
      </c>
      <c r="F63" s="2">
        <f>IFERROR(__xludf.DUMMYFUNCTION("""COMPUTED_VALUE"""),5.6750317E7)</f>
        <v>56750317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IFERROR(__xludf.DUMMYFUNCTION("""COMPUTED_VALUE"""),102.3)</f>
        <v>102.3</v>
      </c>
      <c r="C64" s="2">
        <f>IFERROR(__xludf.DUMMYFUNCTION("""COMPUTED_VALUE"""),103.29)</f>
        <v>103.29</v>
      </c>
      <c r="D64" s="2">
        <f>IFERROR(__xludf.DUMMYFUNCTION("""COMPUTED_VALUE"""),101.43)</f>
        <v>101.43</v>
      </c>
      <c r="E64" s="2">
        <f>IFERROR(__xludf.DUMMYFUNCTION("""COMPUTED_VALUE"""),102.41)</f>
        <v>102.41</v>
      </c>
      <c r="F64" s="2">
        <f>IFERROR(__xludf.DUMMYFUNCTION("""COMPUTED_VALUE"""),4.1135733E7)</f>
        <v>41135733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IFERROR(__xludf.DUMMYFUNCTION("""COMPUTED_VALUE"""),102.75)</f>
        <v>102.75</v>
      </c>
      <c r="C65" s="2">
        <f>IFERROR(__xludf.DUMMYFUNCTION("""COMPUTED_VALUE"""),104.2)</f>
        <v>104.2</v>
      </c>
      <c r="D65" s="2">
        <f>IFERROR(__xludf.DUMMYFUNCTION("""COMPUTED_VALUE"""),102.11)</f>
        <v>102.11</v>
      </c>
      <c r="E65" s="2">
        <f>IFERROR(__xludf.DUMMYFUNCTION("""COMPUTED_VALUE"""),103.95)</f>
        <v>103.95</v>
      </c>
      <c r="F65" s="2">
        <f>IFERROR(__xludf.DUMMYFUNCTION("""COMPUTED_VALUE"""),4.8662496E7)</f>
        <v>48662496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IFERROR(__xludf.DUMMYFUNCTION("""COMPUTED_VALUE"""),103.91)</f>
        <v>103.91</v>
      </c>
      <c r="C66" s="2">
        <f>IFERROR(__xludf.DUMMYFUNCTION("""COMPUTED_VALUE"""),103.91)</f>
        <v>103.91</v>
      </c>
      <c r="D66" s="2">
        <f>IFERROR(__xludf.DUMMYFUNCTION("""COMPUTED_VALUE"""),100.75)</f>
        <v>100.75</v>
      </c>
      <c r="E66" s="2">
        <f>IFERROR(__xludf.DUMMYFUNCTION("""COMPUTED_VALUE"""),101.1)</f>
        <v>101.1</v>
      </c>
      <c r="F66" s="2">
        <f>IFERROR(__xludf.DUMMYFUNCTION("""COMPUTED_VALUE"""),4.5175393E7)</f>
        <v>45175393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IFERROR(__xludf.DUMMYFUNCTION("""COMPUTED_VALUE"""),100.75)</f>
        <v>100.75</v>
      </c>
      <c r="C67" s="2">
        <f>IFERROR(__xludf.DUMMYFUNCTION("""COMPUTED_VALUE"""),102.38)</f>
        <v>102.38</v>
      </c>
      <c r="D67" s="2">
        <f>IFERROR(__xludf.DUMMYFUNCTION("""COMPUTED_VALUE"""),99.8)</f>
        <v>99.8</v>
      </c>
      <c r="E67" s="2">
        <f>IFERROR(__xludf.DUMMYFUNCTION("""COMPUTED_VALUE"""),102.06)</f>
        <v>102.06</v>
      </c>
      <c r="F67" s="2">
        <f>IFERROR(__xludf.DUMMYFUNCTION("""COMPUTED_VALUE"""),4.380802E7)</f>
        <v>43808020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IFERROR(__xludf.DUMMYFUNCTION("""COMPUTED_VALUE"""),100.96)</f>
        <v>100.96</v>
      </c>
      <c r="C68" s="2">
        <f>IFERROR(__xludf.DUMMYFUNCTION("""COMPUTED_VALUE"""),102.2)</f>
        <v>102.2</v>
      </c>
      <c r="D68" s="2">
        <f>IFERROR(__xludf.DUMMYFUNCTION("""COMPUTED_VALUE"""),99.57)</f>
        <v>99.57</v>
      </c>
      <c r="E68" s="2">
        <f>IFERROR(__xludf.DUMMYFUNCTION("""COMPUTED_VALUE"""),102.17)</f>
        <v>102.17</v>
      </c>
      <c r="F68" s="2">
        <f>IFERROR(__xludf.DUMMYFUNCTION("""COMPUTED_VALUE"""),3.7261185E7)</f>
        <v>37261185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IFERROR(__xludf.DUMMYFUNCTION("""COMPUTED_VALUE"""),100.8)</f>
        <v>100.8</v>
      </c>
      <c r="C69" s="2">
        <f>IFERROR(__xludf.DUMMYFUNCTION("""COMPUTED_VALUE"""),101.0)</f>
        <v>101</v>
      </c>
      <c r="D69" s="2">
        <f>IFERROR(__xludf.DUMMYFUNCTION("""COMPUTED_VALUE"""),99.01)</f>
        <v>99.01</v>
      </c>
      <c r="E69" s="2">
        <f>IFERROR(__xludf.DUMMYFUNCTION("""COMPUTED_VALUE"""),99.92)</f>
        <v>99.92</v>
      </c>
      <c r="F69" s="2">
        <f>IFERROR(__xludf.DUMMYFUNCTION("""COMPUTED_VALUE"""),6.0417847E7)</f>
        <v>60417847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IFERROR(__xludf.DUMMYFUNCTION("""COMPUTED_VALUE"""),100.4)</f>
        <v>100.4</v>
      </c>
      <c r="C70" s="2">
        <f>IFERROR(__xludf.DUMMYFUNCTION("""COMPUTED_VALUE"""),100.51)</f>
        <v>100.51</v>
      </c>
      <c r="D70" s="2">
        <f>IFERROR(__xludf.DUMMYFUNCTION("""COMPUTED_VALUE"""),97.71)</f>
        <v>97.71</v>
      </c>
      <c r="E70" s="2">
        <f>IFERROR(__xludf.DUMMYFUNCTION("""COMPUTED_VALUE"""),97.83)</f>
        <v>97.83</v>
      </c>
      <c r="F70" s="2">
        <f>IFERROR(__xludf.DUMMYFUNCTION("""COMPUTED_VALUE"""),5.6735007E7)</f>
        <v>56735007</v>
      </c>
    </row>
    <row r="71">
      <c r="A71" s="3">
        <f>IFERROR(__xludf.DUMMYFUNCTION("""COMPUTED_VALUE"""),45029.66666666667)</f>
        <v>45029.66667</v>
      </c>
      <c r="B71" s="2">
        <f>IFERROR(__xludf.DUMMYFUNCTION("""COMPUTED_VALUE"""),98.95)</f>
        <v>98.95</v>
      </c>
      <c r="C71" s="2">
        <f>IFERROR(__xludf.DUMMYFUNCTION("""COMPUTED_VALUE"""),102.57)</f>
        <v>102.57</v>
      </c>
      <c r="D71" s="2">
        <f>IFERROR(__xludf.DUMMYFUNCTION("""COMPUTED_VALUE"""),98.71)</f>
        <v>98.71</v>
      </c>
      <c r="E71" s="2">
        <f>IFERROR(__xludf.DUMMYFUNCTION("""COMPUTED_VALUE"""),102.4)</f>
        <v>102.4</v>
      </c>
      <c r="F71" s="2">
        <f>IFERROR(__xludf.DUMMYFUNCTION("""COMPUTED_VALUE"""),6.7925138E7)</f>
        <v>67925138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IFERROR(__xludf.DUMMYFUNCTION("""COMPUTED_VALUE"""),102.07)</f>
        <v>102.07</v>
      </c>
      <c r="C72" s="2">
        <f>IFERROR(__xludf.DUMMYFUNCTION("""COMPUTED_VALUE"""),103.2)</f>
        <v>103.2</v>
      </c>
      <c r="D72" s="2">
        <f>IFERROR(__xludf.DUMMYFUNCTION("""COMPUTED_VALUE"""),101.11)</f>
        <v>101.11</v>
      </c>
      <c r="E72" s="2">
        <f>IFERROR(__xludf.DUMMYFUNCTION("""COMPUTED_VALUE"""),102.51)</f>
        <v>102.51</v>
      </c>
      <c r="F72" s="2">
        <f>IFERROR(__xludf.DUMMYFUNCTION("""COMPUTED_VALUE"""),5.1450522E7)</f>
        <v>51450522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IFERROR(__xludf.DUMMYFUNCTION("""COMPUTED_VALUE"""),103.16)</f>
        <v>103.16</v>
      </c>
      <c r="C73" s="2">
        <f>IFERROR(__xludf.DUMMYFUNCTION("""COMPUTED_VALUE"""),103.73)</f>
        <v>103.73</v>
      </c>
      <c r="D73" s="2">
        <f>IFERROR(__xludf.DUMMYFUNCTION("""COMPUTED_VALUE"""),101.59)</f>
        <v>101.59</v>
      </c>
      <c r="E73" s="2">
        <f>IFERROR(__xludf.DUMMYFUNCTION("""COMPUTED_VALUE"""),102.74)</f>
        <v>102.74</v>
      </c>
      <c r="F73" s="2">
        <f>IFERROR(__xludf.DUMMYFUNCTION("""COMPUTED_VALUE"""),3.9919457E7)</f>
        <v>39919457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IFERROR(__xludf.DUMMYFUNCTION("""COMPUTED_VALUE"""),103.95)</f>
        <v>103.95</v>
      </c>
      <c r="C74" s="2">
        <f>IFERROR(__xludf.DUMMYFUNCTION("""COMPUTED_VALUE"""),104.2)</f>
        <v>104.2</v>
      </c>
      <c r="D74" s="2">
        <f>IFERROR(__xludf.DUMMYFUNCTION("""COMPUTED_VALUE"""),101.52)</f>
        <v>101.52</v>
      </c>
      <c r="E74" s="2">
        <f>IFERROR(__xludf.DUMMYFUNCTION("""COMPUTED_VALUE"""),102.3)</f>
        <v>102.3</v>
      </c>
      <c r="F74" s="2">
        <f>IFERROR(__xludf.DUMMYFUNCTION("""COMPUTED_VALUE"""),3.9790518E7)</f>
        <v>39790518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IFERROR(__xludf.DUMMYFUNCTION("""COMPUTED_VALUE"""),101.58)</f>
        <v>101.58</v>
      </c>
      <c r="C75" s="2">
        <f>IFERROR(__xludf.DUMMYFUNCTION("""COMPUTED_VALUE"""),105.12)</f>
        <v>105.12</v>
      </c>
      <c r="D75" s="2">
        <f>IFERROR(__xludf.DUMMYFUNCTION("""COMPUTED_VALUE"""),101.39)</f>
        <v>101.39</v>
      </c>
      <c r="E75" s="2">
        <f>IFERROR(__xludf.DUMMYFUNCTION("""COMPUTED_VALUE"""),104.3)</f>
        <v>104.3</v>
      </c>
      <c r="F75" s="2">
        <f>IFERROR(__xludf.DUMMYFUNCTION("""COMPUTED_VALUE"""),5.839889E7)</f>
        <v>58398890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IFERROR(__xludf.DUMMYFUNCTION("""COMPUTED_VALUE"""),103.53)</f>
        <v>103.53</v>
      </c>
      <c r="C76" s="2">
        <f>IFERROR(__xludf.DUMMYFUNCTION("""COMPUTED_VALUE"""),105.25)</f>
        <v>105.25</v>
      </c>
      <c r="D76" s="2">
        <f>IFERROR(__xludf.DUMMYFUNCTION("""COMPUTED_VALUE"""),103.21)</f>
        <v>103.21</v>
      </c>
      <c r="E76" s="2">
        <f>IFERROR(__xludf.DUMMYFUNCTION("""COMPUTED_VALUE"""),103.81)</f>
        <v>103.81</v>
      </c>
      <c r="F76" s="2">
        <f>IFERROR(__xludf.DUMMYFUNCTION("""COMPUTED_VALUE"""),5.7696866E7)</f>
        <v>57696866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IFERROR(__xludf.DUMMYFUNCTION("""COMPUTED_VALUE"""),106.1)</f>
        <v>106.1</v>
      </c>
      <c r="C77" s="2">
        <f>IFERROR(__xludf.DUMMYFUNCTION("""COMPUTED_VALUE"""),108.15)</f>
        <v>108.15</v>
      </c>
      <c r="D77" s="2">
        <f>IFERROR(__xludf.DUMMYFUNCTION("""COMPUTED_VALUE"""),105.08)</f>
        <v>105.08</v>
      </c>
      <c r="E77" s="2">
        <f>IFERROR(__xludf.DUMMYFUNCTION("""COMPUTED_VALUE"""),106.96)</f>
        <v>106.96</v>
      </c>
      <c r="F77" s="2">
        <f>IFERROR(__xludf.DUMMYFUNCTION("""COMPUTED_VALUE"""),8.6774185E7)</f>
        <v>86774185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IFERROR(__xludf.DUMMYFUNCTION("""COMPUTED_VALUE"""),107.66)</f>
        <v>107.66</v>
      </c>
      <c r="C78" s="2">
        <f>IFERROR(__xludf.DUMMYFUNCTION("""COMPUTED_VALUE"""),109.23)</f>
        <v>109.23</v>
      </c>
      <c r="D78" s="2">
        <f>IFERROR(__xludf.DUMMYFUNCTION("""COMPUTED_VALUE"""),105.07)</f>
        <v>105.07</v>
      </c>
      <c r="E78" s="2">
        <f>IFERROR(__xludf.DUMMYFUNCTION("""COMPUTED_VALUE"""),106.21)</f>
        <v>106.21</v>
      </c>
      <c r="F78" s="2">
        <f>IFERROR(__xludf.DUMMYFUNCTION("""COMPUTED_VALUE"""),6.957561E7)</f>
        <v>69575610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IFERROR(__xludf.DUMMYFUNCTION("""COMPUTED_VALUE"""),104.91)</f>
        <v>104.91</v>
      </c>
      <c r="C79" s="2">
        <f>IFERROR(__xludf.DUMMYFUNCTION("""COMPUTED_VALUE"""),105.45)</f>
        <v>105.45</v>
      </c>
      <c r="D79" s="2">
        <f>IFERROR(__xludf.DUMMYFUNCTION("""COMPUTED_VALUE"""),102.45)</f>
        <v>102.45</v>
      </c>
      <c r="E79" s="2">
        <f>IFERROR(__xludf.DUMMYFUNCTION("""COMPUTED_VALUE"""),102.57)</f>
        <v>102.57</v>
      </c>
      <c r="F79" s="2">
        <f>IFERROR(__xludf.DUMMYFUNCTION("""COMPUTED_VALUE"""),6.5026818E7)</f>
        <v>65026818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IFERROR(__xludf.DUMMYFUNCTION("""COMPUTED_VALUE"""),105.04)</f>
        <v>105.04</v>
      </c>
      <c r="C80" s="2">
        <f>IFERROR(__xludf.DUMMYFUNCTION("""COMPUTED_VALUE"""),106.62)</f>
        <v>106.62</v>
      </c>
      <c r="D80" s="2">
        <f>IFERROR(__xludf.DUMMYFUNCTION("""COMPUTED_VALUE"""),104.1)</f>
        <v>104.1</v>
      </c>
      <c r="E80" s="2">
        <f>IFERROR(__xludf.DUMMYFUNCTION("""COMPUTED_VALUE"""),104.98)</f>
        <v>104.98</v>
      </c>
      <c r="F80" s="2">
        <f>IFERROR(__xludf.DUMMYFUNCTION("""COMPUTED_VALUE"""),7.380379E7)</f>
        <v>73803790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IFERROR(__xludf.DUMMYFUNCTION("""COMPUTED_VALUE"""),108.16)</f>
        <v>108.16</v>
      </c>
      <c r="C81" s="2">
        <f>IFERROR(__xludf.DUMMYFUNCTION("""COMPUTED_VALUE"""),110.86)</f>
        <v>110.86</v>
      </c>
      <c r="D81" s="2">
        <f>IFERROR(__xludf.DUMMYFUNCTION("""COMPUTED_VALUE"""),106.8)</f>
        <v>106.8</v>
      </c>
      <c r="E81" s="2">
        <f>IFERROR(__xludf.DUMMYFUNCTION("""COMPUTED_VALUE"""),109.82)</f>
        <v>109.82</v>
      </c>
      <c r="F81" s="2">
        <f>IFERROR(__xludf.DUMMYFUNCTION("""COMPUTED_VALUE"""),1.49961167E8)</f>
        <v>149961167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IFERROR(__xludf.DUMMYFUNCTION("""COMPUTED_VALUE"""),107.73)</f>
        <v>107.73</v>
      </c>
      <c r="C82" s="2">
        <f>IFERROR(__xludf.DUMMYFUNCTION("""COMPUTED_VALUE"""),109.48)</f>
        <v>109.48</v>
      </c>
      <c r="D82" s="2">
        <f>IFERROR(__xludf.DUMMYFUNCTION("""COMPUTED_VALUE"""),104.33)</f>
        <v>104.33</v>
      </c>
      <c r="E82" s="2">
        <f>IFERROR(__xludf.DUMMYFUNCTION("""COMPUTED_VALUE"""),105.45)</f>
        <v>105.45</v>
      </c>
      <c r="F82" s="2">
        <f>IFERROR(__xludf.DUMMYFUNCTION("""COMPUTED_VALUE"""),1.30715946E8)</f>
        <v>130715946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IFERROR(__xludf.DUMMYFUNCTION("""COMPUTED_VALUE"""),104.95)</f>
        <v>104.95</v>
      </c>
      <c r="C83" s="2">
        <f>IFERROR(__xludf.DUMMYFUNCTION("""COMPUTED_VALUE"""),105.23)</f>
        <v>105.23</v>
      </c>
      <c r="D83" s="2">
        <f>IFERROR(__xludf.DUMMYFUNCTION("""COMPUTED_VALUE"""),101.82)</f>
        <v>101.82</v>
      </c>
      <c r="E83" s="2">
        <f>IFERROR(__xludf.DUMMYFUNCTION("""COMPUTED_VALUE"""),102.05)</f>
        <v>102.05</v>
      </c>
      <c r="F83" s="2">
        <f>IFERROR(__xludf.DUMMYFUNCTION("""COMPUTED_VALUE"""),7.4728096E7)</f>
        <v>74728096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IFERROR(__xludf.DUMMYFUNCTION("""COMPUTED_VALUE"""),101.47)</f>
        <v>101.47</v>
      </c>
      <c r="C84" s="2">
        <f>IFERROR(__xludf.DUMMYFUNCTION("""COMPUTED_VALUE"""),103.9)</f>
        <v>103.9</v>
      </c>
      <c r="D84" s="2">
        <f>IFERROR(__xludf.DUMMYFUNCTION("""COMPUTED_VALUE"""),101.15)</f>
        <v>101.15</v>
      </c>
      <c r="E84" s="2">
        <f>IFERROR(__xludf.DUMMYFUNCTION("""COMPUTED_VALUE"""),103.63)</f>
        <v>103.63</v>
      </c>
      <c r="F84" s="2">
        <f>IFERROR(__xludf.DUMMYFUNCTION("""COMPUTED_VALUE"""),7.346935E7)</f>
        <v>73469350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IFERROR(__xludf.DUMMYFUNCTION("""COMPUTED_VALUE"""),103.74)</f>
        <v>103.74</v>
      </c>
      <c r="C85" s="2">
        <f>IFERROR(__xludf.DUMMYFUNCTION("""COMPUTED_VALUE"""),105.96)</f>
        <v>105.96</v>
      </c>
      <c r="D85" s="2">
        <f>IFERROR(__xludf.DUMMYFUNCTION("""COMPUTED_VALUE"""),103.28)</f>
        <v>103.28</v>
      </c>
      <c r="E85" s="2">
        <f>IFERROR(__xludf.DUMMYFUNCTION("""COMPUTED_VALUE"""),103.65)</f>
        <v>103.65</v>
      </c>
      <c r="F85" s="2">
        <f>IFERROR(__xludf.DUMMYFUNCTION("""COMPUTED_VALUE"""),6.5051925E7)</f>
        <v>65051925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IFERROR(__xludf.DUMMYFUNCTION("""COMPUTED_VALUE"""),104.04)</f>
        <v>104.04</v>
      </c>
      <c r="C86" s="2">
        <f>IFERROR(__xludf.DUMMYFUNCTION("""COMPUTED_VALUE"""),105.39)</f>
        <v>105.39</v>
      </c>
      <c r="D86" s="2">
        <f>IFERROR(__xludf.DUMMYFUNCTION("""COMPUTED_VALUE"""),103.31)</f>
        <v>103.31</v>
      </c>
      <c r="E86" s="2">
        <f>IFERROR(__xludf.DUMMYFUNCTION("""COMPUTED_VALUE"""),104.0)</f>
        <v>104</v>
      </c>
      <c r="F86" s="2">
        <f>IFERROR(__xludf.DUMMYFUNCTION("""COMPUTED_VALUE"""),4.5345523E7)</f>
        <v>45345523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IFERROR(__xludf.DUMMYFUNCTION("""COMPUTED_VALUE"""),104.27)</f>
        <v>104.27</v>
      </c>
      <c r="C87" s="2">
        <f>IFERROR(__xludf.DUMMYFUNCTION("""COMPUTED_VALUE"""),105.76)</f>
        <v>105.76</v>
      </c>
      <c r="D87" s="2">
        <f>IFERROR(__xludf.DUMMYFUNCTION("""COMPUTED_VALUE"""),103.55)</f>
        <v>103.55</v>
      </c>
      <c r="E87" s="2">
        <f>IFERROR(__xludf.DUMMYFUNCTION("""COMPUTED_VALUE"""),105.66)</f>
        <v>105.66</v>
      </c>
      <c r="F87" s="2">
        <f>IFERROR(__xludf.DUMMYFUNCTION("""COMPUTED_VALUE"""),5.6951744E7)</f>
        <v>56951744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IFERROR(__xludf.DUMMYFUNCTION("""COMPUTED_VALUE"""),105.04)</f>
        <v>105.04</v>
      </c>
      <c r="C88" s="2">
        <f>IFERROR(__xludf.DUMMYFUNCTION("""COMPUTED_VALUE"""),106.1)</f>
        <v>106.1</v>
      </c>
      <c r="D88" s="2">
        <f>IFERROR(__xludf.DUMMYFUNCTION("""COMPUTED_VALUE"""),104.7)</f>
        <v>104.7</v>
      </c>
      <c r="E88" s="2">
        <f>IFERROR(__xludf.DUMMYFUNCTION("""COMPUTED_VALUE"""),105.83)</f>
        <v>105.83</v>
      </c>
      <c r="F88" s="2">
        <f>IFERROR(__xludf.DUMMYFUNCTION("""COMPUTED_VALUE"""),4.9430909E7)</f>
        <v>49430909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IFERROR(__xludf.DUMMYFUNCTION("""COMPUTED_VALUE"""),105.48)</f>
        <v>105.48</v>
      </c>
      <c r="C89" s="2">
        <f>IFERROR(__xludf.DUMMYFUNCTION("""COMPUTED_VALUE"""),106.79)</f>
        <v>106.79</v>
      </c>
      <c r="D89" s="2">
        <f>IFERROR(__xludf.DUMMYFUNCTION("""COMPUTED_VALUE"""),105.16)</f>
        <v>105.16</v>
      </c>
      <c r="E89" s="2">
        <f>IFERROR(__xludf.DUMMYFUNCTION("""COMPUTED_VALUE"""),106.62)</f>
        <v>106.62</v>
      </c>
      <c r="F89" s="2">
        <f>IFERROR(__xludf.DUMMYFUNCTION("""COMPUTED_VALUE"""),4.4089359E7)</f>
        <v>44089359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IFERROR(__xludf.DUMMYFUNCTION("""COMPUTED_VALUE"""),108.1)</f>
        <v>108.1</v>
      </c>
      <c r="C90" s="2">
        <f>IFERROR(__xludf.DUMMYFUNCTION("""COMPUTED_VALUE"""),110.67)</f>
        <v>110.67</v>
      </c>
      <c r="D90" s="2">
        <f>IFERROR(__xludf.DUMMYFUNCTION("""COMPUTED_VALUE"""),108.05)</f>
        <v>108.05</v>
      </c>
      <c r="E90" s="2">
        <f>IFERROR(__xludf.DUMMYFUNCTION("""COMPUTED_VALUE"""),110.19)</f>
        <v>110.19</v>
      </c>
      <c r="F90" s="2">
        <f>IFERROR(__xludf.DUMMYFUNCTION("""COMPUTED_VALUE"""),7.8627616E7)</f>
        <v>78627616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IFERROR(__xludf.DUMMYFUNCTION("""COMPUTED_VALUE"""),111.03)</f>
        <v>111.03</v>
      </c>
      <c r="C91" s="2">
        <f>IFERROR(__xludf.DUMMYFUNCTION("""COMPUTED_VALUE"""),113.28)</f>
        <v>113.28</v>
      </c>
      <c r="D91" s="2">
        <f>IFERROR(__xludf.DUMMYFUNCTION("""COMPUTED_VALUE"""),110.49)</f>
        <v>110.49</v>
      </c>
      <c r="E91" s="2">
        <f>IFERROR(__xludf.DUMMYFUNCTION("""COMPUTED_VALUE"""),112.18)</f>
        <v>112.18</v>
      </c>
      <c r="F91" s="2">
        <f>IFERROR(__xludf.DUMMYFUNCTION("""COMPUTED_VALUE"""),7.4924841E7)</f>
        <v>74924841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IFERROR(__xludf.DUMMYFUNCTION("""COMPUTED_VALUE"""),112.16)</f>
        <v>112.16</v>
      </c>
      <c r="C92" s="2">
        <f>IFERROR(__xludf.DUMMYFUNCTION("""COMPUTED_VALUE"""),112.64)</f>
        <v>112.64</v>
      </c>
      <c r="D92" s="2">
        <f>IFERROR(__xludf.DUMMYFUNCTION("""COMPUTED_VALUE"""),109.32)</f>
        <v>109.32</v>
      </c>
      <c r="E92" s="2">
        <f>IFERROR(__xludf.DUMMYFUNCTION("""COMPUTED_VALUE"""),110.26)</f>
        <v>110.26</v>
      </c>
      <c r="F92" s="2">
        <f>IFERROR(__xludf.DUMMYFUNCTION("""COMPUTED_VALUE"""),4.9852671E7)</f>
        <v>49852671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IFERROR(__xludf.DUMMYFUNCTION("""COMPUTED_VALUE"""),111.15)</f>
        <v>111.15</v>
      </c>
      <c r="C93" s="2">
        <f>IFERROR(__xludf.DUMMYFUNCTION("""COMPUTED_VALUE"""),112.29)</f>
        <v>112.29</v>
      </c>
      <c r="D93" s="2">
        <f>IFERROR(__xludf.DUMMYFUNCTION("""COMPUTED_VALUE"""),109.25)</f>
        <v>109.25</v>
      </c>
      <c r="E93" s="2">
        <f>IFERROR(__xludf.DUMMYFUNCTION("""COMPUTED_VALUE"""),111.2)</f>
        <v>111.2</v>
      </c>
      <c r="F93" s="2">
        <f>IFERROR(__xludf.DUMMYFUNCTION("""COMPUTED_VALUE"""),5.3011145E7)</f>
        <v>53011145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IFERROR(__xludf.DUMMYFUNCTION("""COMPUTED_VALUE"""),111.05)</f>
        <v>111.05</v>
      </c>
      <c r="C94" s="2">
        <f>IFERROR(__xludf.DUMMYFUNCTION("""COMPUTED_VALUE"""),114.79)</f>
        <v>114.79</v>
      </c>
      <c r="D94" s="2">
        <f>IFERROR(__xludf.DUMMYFUNCTION("""COMPUTED_VALUE"""),111.05)</f>
        <v>111.05</v>
      </c>
      <c r="E94" s="2">
        <f>IFERROR(__xludf.DUMMYFUNCTION("""COMPUTED_VALUE"""),113.4)</f>
        <v>113.4</v>
      </c>
      <c r="F94" s="2">
        <f>IFERROR(__xludf.DUMMYFUNCTION("""COMPUTED_VALUE"""),7.1472908E7)</f>
        <v>71472908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IFERROR(__xludf.DUMMYFUNCTION("""COMPUTED_VALUE"""),114.89)</f>
        <v>114.89</v>
      </c>
      <c r="C95" s="2">
        <f>IFERROR(__xludf.DUMMYFUNCTION("""COMPUTED_VALUE"""),115.83)</f>
        <v>115.83</v>
      </c>
      <c r="D95" s="2">
        <f>IFERROR(__xludf.DUMMYFUNCTION("""COMPUTED_VALUE"""),114.22)</f>
        <v>114.22</v>
      </c>
      <c r="E95" s="2">
        <f>IFERROR(__xludf.DUMMYFUNCTION("""COMPUTED_VALUE"""),115.5)</f>
        <v>115.5</v>
      </c>
      <c r="F95" s="2">
        <f>IFERROR(__xludf.DUMMYFUNCTION("""COMPUTED_VALUE"""),6.5655177E7)</f>
        <v>65655177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IFERROR(__xludf.DUMMYFUNCTION("""COMPUTED_VALUE"""),116.69)</f>
        <v>116.69</v>
      </c>
      <c r="C96" s="2">
        <f>IFERROR(__xludf.DUMMYFUNCTION("""COMPUTED_VALUE"""),118.6)</f>
        <v>118.6</v>
      </c>
      <c r="D96" s="2">
        <f>IFERROR(__xludf.DUMMYFUNCTION("""COMPUTED_VALUE"""),116.34)</f>
        <v>116.34</v>
      </c>
      <c r="E96" s="2">
        <f>IFERROR(__xludf.DUMMYFUNCTION("""COMPUTED_VALUE"""),118.15)</f>
        <v>118.15</v>
      </c>
      <c r="F96" s="2">
        <f>IFERROR(__xludf.DUMMYFUNCTION("""COMPUTED_VALUE"""),7.3174087E7)</f>
        <v>73174087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IFERROR(__xludf.DUMMYFUNCTION("""COMPUTED_VALUE"""),118.16)</f>
        <v>118.16</v>
      </c>
      <c r="C97" s="2">
        <f>IFERROR(__xludf.DUMMYFUNCTION("""COMPUTED_VALUE"""),118.31)</f>
        <v>118.31</v>
      </c>
      <c r="D97" s="2">
        <f>IFERROR(__xludf.DUMMYFUNCTION("""COMPUTED_VALUE"""),115.7)</f>
        <v>115.7</v>
      </c>
      <c r="E97" s="2">
        <f>IFERROR(__xludf.DUMMYFUNCTION("""COMPUTED_VALUE"""),116.25)</f>
        <v>116.25</v>
      </c>
      <c r="F97" s="2">
        <f>IFERROR(__xludf.DUMMYFUNCTION("""COMPUTED_VALUE"""),5.5056307E7)</f>
        <v>55056307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IFERROR(__xludf.DUMMYFUNCTION("""COMPUTED_VALUE"""),116.77)</f>
        <v>116.77</v>
      </c>
      <c r="C98" s="2">
        <f>IFERROR(__xludf.DUMMYFUNCTION("""COMPUTED_VALUE"""),116.77)</f>
        <v>116.77</v>
      </c>
      <c r="D98" s="2">
        <f>IFERROR(__xludf.DUMMYFUNCTION("""COMPUTED_VALUE"""),114.25)</f>
        <v>114.25</v>
      </c>
      <c r="E98" s="2">
        <f>IFERROR(__xludf.DUMMYFUNCTION("""COMPUTED_VALUE"""),115.01)</f>
        <v>115.01</v>
      </c>
      <c r="F98" s="2">
        <f>IFERROR(__xludf.DUMMYFUNCTION("""COMPUTED_VALUE"""),7.0741123E7)</f>
        <v>70741123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IFERROR(__xludf.DUMMYFUNCTION("""COMPUTED_VALUE"""),114.27)</f>
        <v>114.27</v>
      </c>
      <c r="C99" s="2">
        <f>IFERROR(__xludf.DUMMYFUNCTION("""COMPUTED_VALUE"""),117.14)</f>
        <v>117.14</v>
      </c>
      <c r="D99" s="2">
        <f>IFERROR(__xludf.DUMMYFUNCTION("""COMPUTED_VALUE"""),113.78)</f>
        <v>113.78</v>
      </c>
      <c r="E99" s="2">
        <f>IFERROR(__xludf.DUMMYFUNCTION("""COMPUTED_VALUE"""),114.99)</f>
        <v>114.99</v>
      </c>
      <c r="F99" s="2">
        <f>IFERROR(__xludf.DUMMYFUNCTION("""COMPUTED_VALUE"""),6.7576262E7)</f>
        <v>67576262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IFERROR(__xludf.DUMMYFUNCTION("""COMPUTED_VALUE"""),115.35)</f>
        <v>115.35</v>
      </c>
      <c r="C100" s="2">
        <f>IFERROR(__xludf.DUMMYFUNCTION("""COMPUTED_VALUE"""),117.34)</f>
        <v>117.34</v>
      </c>
      <c r="D100" s="2">
        <f>IFERROR(__xludf.DUMMYFUNCTION("""COMPUTED_VALUE"""),115.02)</f>
        <v>115.02</v>
      </c>
      <c r="E100" s="2">
        <f>IFERROR(__xludf.DUMMYFUNCTION("""COMPUTED_VALUE"""),116.75)</f>
        <v>116.75</v>
      </c>
      <c r="F100" s="2">
        <f>IFERROR(__xludf.DUMMYFUNCTION("""COMPUTED_VALUE"""),6.3487938E7)</f>
        <v>63487938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IFERROR(__xludf.DUMMYFUNCTION("""COMPUTED_VALUE"""),116.63)</f>
        <v>116.63</v>
      </c>
      <c r="C101" s="2">
        <f>IFERROR(__xludf.DUMMYFUNCTION("""COMPUTED_VALUE"""),116.87)</f>
        <v>116.87</v>
      </c>
      <c r="D101" s="2">
        <f>IFERROR(__xludf.DUMMYFUNCTION("""COMPUTED_VALUE"""),114.31)</f>
        <v>114.31</v>
      </c>
      <c r="E101" s="2">
        <f>IFERROR(__xludf.DUMMYFUNCTION("""COMPUTED_VALUE"""),115.0)</f>
        <v>115</v>
      </c>
      <c r="F101" s="2">
        <f>IFERROR(__xludf.DUMMYFUNCTION("""COMPUTED_VALUE"""),6.6496681E7)</f>
        <v>66496681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IFERROR(__xludf.DUMMYFUNCTION("""COMPUTED_VALUE"""),116.04)</f>
        <v>116.04</v>
      </c>
      <c r="C102" s="2">
        <f>IFERROR(__xludf.DUMMYFUNCTION("""COMPUTED_VALUE"""),121.5)</f>
        <v>121.5</v>
      </c>
      <c r="D102" s="2">
        <f>IFERROR(__xludf.DUMMYFUNCTION("""COMPUTED_VALUE"""),116.02)</f>
        <v>116.02</v>
      </c>
      <c r="E102" s="2">
        <f>IFERROR(__xludf.DUMMYFUNCTION("""COMPUTED_VALUE"""),120.11)</f>
        <v>120.11</v>
      </c>
      <c r="F102" s="2">
        <f>IFERROR(__xludf.DUMMYFUNCTION("""COMPUTED_VALUE"""),9.6779889E7)</f>
        <v>96779889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IFERROR(__xludf.DUMMYFUNCTION("""COMPUTED_VALUE"""),122.37)</f>
        <v>122.37</v>
      </c>
      <c r="C103" s="2">
        <f>IFERROR(__xludf.DUMMYFUNCTION("""COMPUTED_VALUE"""),122.92)</f>
        <v>122.92</v>
      </c>
      <c r="D103" s="2">
        <f>IFERROR(__xludf.DUMMYFUNCTION("""COMPUTED_VALUE"""),119.86)</f>
        <v>119.86</v>
      </c>
      <c r="E103" s="2">
        <f>IFERROR(__xludf.DUMMYFUNCTION("""COMPUTED_VALUE"""),121.66)</f>
        <v>121.66</v>
      </c>
      <c r="F103" s="2">
        <f>IFERROR(__xludf.DUMMYFUNCTION("""COMPUTED_VALUE"""),6.4314808E7)</f>
        <v>64314808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IFERROR(__xludf.DUMMYFUNCTION("""COMPUTED_VALUE"""),121.45)</f>
        <v>121.45</v>
      </c>
      <c r="C104" s="2">
        <f>IFERROR(__xludf.DUMMYFUNCTION("""COMPUTED_VALUE"""),122.04)</f>
        <v>122.04</v>
      </c>
      <c r="D104" s="2">
        <f>IFERROR(__xludf.DUMMYFUNCTION("""COMPUTED_VALUE"""),119.17)</f>
        <v>119.17</v>
      </c>
      <c r="E104" s="2">
        <f>IFERROR(__xludf.DUMMYFUNCTION("""COMPUTED_VALUE"""),120.58)</f>
        <v>120.58</v>
      </c>
      <c r="F104" s="2">
        <f>IFERROR(__xludf.DUMMYFUNCTION("""COMPUTED_VALUE"""),7.2800787E7)</f>
        <v>72800787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IFERROR(__xludf.DUMMYFUNCTION("""COMPUTED_VALUE"""),120.69)</f>
        <v>120.69</v>
      </c>
      <c r="C105" s="2">
        <f>IFERROR(__xludf.DUMMYFUNCTION("""COMPUTED_VALUE"""),123.49)</f>
        <v>123.49</v>
      </c>
      <c r="D105" s="2">
        <f>IFERROR(__xludf.DUMMYFUNCTION("""COMPUTED_VALUE"""),119.93)</f>
        <v>119.93</v>
      </c>
      <c r="E105" s="2">
        <f>IFERROR(__xludf.DUMMYFUNCTION("""COMPUTED_VALUE"""),122.77)</f>
        <v>122.77</v>
      </c>
      <c r="F105" s="2">
        <f>IFERROR(__xludf.DUMMYFUNCTION("""COMPUTED_VALUE"""),5.4375131E7)</f>
        <v>54375131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IFERROR(__xludf.DUMMYFUNCTION("""COMPUTED_VALUE"""),124.92)</f>
        <v>124.92</v>
      </c>
      <c r="C106" s="2">
        <f>IFERROR(__xludf.DUMMYFUNCTION("""COMPUTED_VALUE"""),126.39)</f>
        <v>126.39</v>
      </c>
      <c r="D106" s="2">
        <f>IFERROR(__xludf.DUMMYFUNCTION("""COMPUTED_VALUE"""),124.02)</f>
        <v>124.02</v>
      </c>
      <c r="E106" s="2">
        <f>IFERROR(__xludf.DUMMYFUNCTION("""COMPUTED_VALUE"""),124.25)</f>
        <v>124.25</v>
      </c>
      <c r="F106" s="2">
        <f>IFERROR(__xludf.DUMMYFUNCTION("""COMPUTED_VALUE"""),6.1264414E7)</f>
        <v>61264414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IFERROR(__xludf.DUMMYFUNCTION("""COMPUTED_VALUE"""),123.36)</f>
        <v>123.36</v>
      </c>
      <c r="C107" s="2">
        <f>IFERROR(__xludf.DUMMYFUNCTION("""COMPUTED_VALUE"""),125.8)</f>
        <v>125.8</v>
      </c>
      <c r="D107" s="2">
        <f>IFERROR(__xludf.DUMMYFUNCTION("""COMPUTED_VALUE"""),123.03)</f>
        <v>123.03</v>
      </c>
      <c r="E107" s="2">
        <f>IFERROR(__xludf.DUMMYFUNCTION("""COMPUTED_VALUE"""),125.3)</f>
        <v>125.3</v>
      </c>
      <c r="F107" s="2">
        <f>IFERROR(__xludf.DUMMYFUNCTION("""COMPUTED_VALUE"""),4.7950128E7)</f>
        <v>47950128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IFERROR(__xludf.DUMMYFUNCTION("""COMPUTED_VALUE"""),125.07)</f>
        <v>125.07</v>
      </c>
      <c r="C108" s="2">
        <f>IFERROR(__xludf.DUMMYFUNCTION("""COMPUTED_VALUE"""),127.4)</f>
        <v>127.4</v>
      </c>
      <c r="D108" s="2">
        <f>IFERROR(__xludf.DUMMYFUNCTION("""COMPUTED_VALUE"""),125.0)</f>
        <v>125</v>
      </c>
      <c r="E108" s="2">
        <f>IFERROR(__xludf.DUMMYFUNCTION("""COMPUTED_VALUE"""),126.61)</f>
        <v>126.61</v>
      </c>
      <c r="F108" s="2">
        <f>IFERROR(__xludf.DUMMYFUNCTION("""COMPUTED_VALUE"""),4.5695212E7)</f>
        <v>45695212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IFERROR(__xludf.DUMMYFUNCTION("""COMPUTED_VALUE"""),127.01)</f>
        <v>127.01</v>
      </c>
      <c r="C109" s="2">
        <f>IFERROR(__xludf.DUMMYFUNCTION("""COMPUTED_VALUE"""),127.37)</f>
        <v>127.37</v>
      </c>
      <c r="D109" s="2">
        <f>IFERROR(__xludf.DUMMYFUNCTION("""COMPUTED_VALUE"""),120.63)</f>
        <v>120.63</v>
      </c>
      <c r="E109" s="2">
        <f>IFERROR(__xludf.DUMMYFUNCTION("""COMPUTED_VALUE"""),121.23)</f>
        <v>121.23</v>
      </c>
      <c r="F109" s="2">
        <f>IFERROR(__xludf.DUMMYFUNCTION("""COMPUTED_VALUE"""),9.5663275E7)</f>
        <v>95663275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IFERROR(__xludf.DUMMYFUNCTION("""COMPUTED_VALUE"""),123.01)</f>
        <v>123.01</v>
      </c>
      <c r="C110" s="2">
        <f>IFERROR(__xludf.DUMMYFUNCTION("""COMPUTED_VALUE"""),125.63)</f>
        <v>125.63</v>
      </c>
      <c r="D110" s="2">
        <f>IFERROR(__xludf.DUMMYFUNCTION("""COMPUTED_VALUE"""),122.26)</f>
        <v>122.26</v>
      </c>
      <c r="E110" s="2">
        <f>IFERROR(__xludf.DUMMYFUNCTION("""COMPUTED_VALUE"""),124.25)</f>
        <v>124.25</v>
      </c>
      <c r="F110" s="2">
        <f>IFERROR(__xludf.DUMMYFUNCTION("""COMPUTED_VALUE"""),6.215927E7)</f>
        <v>62159270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IFERROR(__xludf.DUMMYFUNCTION("""COMPUTED_VALUE"""),124.08)</f>
        <v>124.08</v>
      </c>
      <c r="C111" s="2">
        <f>IFERROR(__xludf.DUMMYFUNCTION("""COMPUTED_VALUE"""),125.8)</f>
        <v>125.8</v>
      </c>
      <c r="D111" s="2">
        <f>IFERROR(__xludf.DUMMYFUNCTION("""COMPUTED_VALUE"""),123.19)</f>
        <v>123.19</v>
      </c>
      <c r="E111" s="2">
        <f>IFERROR(__xludf.DUMMYFUNCTION("""COMPUTED_VALUE"""),123.43)</f>
        <v>123.43</v>
      </c>
      <c r="F111" s="2">
        <f>IFERROR(__xludf.DUMMYFUNCTION("""COMPUTED_VALUE"""),5.1396018E7)</f>
        <v>51396018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IFERROR(__xludf.DUMMYFUNCTION("""COMPUTED_VALUE"""),124.02)</f>
        <v>124.02</v>
      </c>
      <c r="C112" s="2">
        <f>IFERROR(__xludf.DUMMYFUNCTION("""COMPUTED_VALUE"""),126.78)</f>
        <v>126.78</v>
      </c>
      <c r="D112" s="2">
        <f>IFERROR(__xludf.DUMMYFUNCTION("""COMPUTED_VALUE"""),123.53)</f>
        <v>123.53</v>
      </c>
      <c r="E112" s="2">
        <f>IFERROR(__xludf.DUMMYFUNCTION("""COMPUTED_VALUE"""),126.57)</f>
        <v>126.57</v>
      </c>
      <c r="F112" s="2">
        <f>IFERROR(__xludf.DUMMYFUNCTION("""COMPUTED_VALUE"""),5.1473376E7)</f>
        <v>51473376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IFERROR(__xludf.DUMMYFUNCTION("""COMPUTED_VALUE"""),128.12)</f>
        <v>128.12</v>
      </c>
      <c r="C113" s="2">
        <f>IFERROR(__xludf.DUMMYFUNCTION("""COMPUTED_VALUE"""),128.41)</f>
        <v>128.41</v>
      </c>
      <c r="D113" s="2">
        <f>IFERROR(__xludf.DUMMYFUNCTION("""COMPUTED_VALUE"""),125.18)</f>
        <v>125.18</v>
      </c>
      <c r="E113" s="2">
        <f>IFERROR(__xludf.DUMMYFUNCTION("""COMPUTED_VALUE"""),126.66)</f>
        <v>126.66</v>
      </c>
      <c r="F113" s="2">
        <f>IFERROR(__xludf.DUMMYFUNCTION("""COMPUTED_VALUE"""),5.0564785E7)</f>
        <v>50564785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IFERROR(__xludf.DUMMYFUNCTION("""COMPUTED_VALUE"""),126.7)</f>
        <v>126.7</v>
      </c>
      <c r="C114" s="2">
        <f>IFERROR(__xludf.DUMMYFUNCTION("""COMPUTED_VALUE"""),126.95)</f>
        <v>126.95</v>
      </c>
      <c r="D114" s="2">
        <f>IFERROR(__xludf.DUMMYFUNCTION("""COMPUTED_VALUE"""),124.12)</f>
        <v>124.12</v>
      </c>
      <c r="E114" s="2">
        <f>IFERROR(__xludf.DUMMYFUNCTION("""COMPUTED_VALUE"""),126.42)</f>
        <v>126.42</v>
      </c>
      <c r="F114" s="2">
        <f>IFERROR(__xludf.DUMMYFUNCTION("""COMPUTED_VALUE"""),5.2422463E7)</f>
        <v>52422463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IFERROR(__xludf.DUMMYFUNCTION("""COMPUTED_VALUE"""),125.21)</f>
        <v>125.21</v>
      </c>
      <c r="C115" s="2">
        <f>IFERROR(__xludf.DUMMYFUNCTION("""COMPUTED_VALUE"""),127.69)</f>
        <v>127.69</v>
      </c>
      <c r="D115" s="2">
        <f>IFERROR(__xludf.DUMMYFUNCTION("""COMPUTED_VALUE"""),124.32)</f>
        <v>124.32</v>
      </c>
      <c r="E115" s="2">
        <f>IFERROR(__xludf.DUMMYFUNCTION("""COMPUTED_VALUE"""),127.11)</f>
        <v>127.11</v>
      </c>
      <c r="F115" s="2">
        <f>IFERROR(__xludf.DUMMYFUNCTION("""COMPUTED_VALUE"""),6.0458471E7)</f>
        <v>60458471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IFERROR(__xludf.DUMMYFUNCTION("""COMPUTED_VALUE"""),127.71)</f>
        <v>127.71</v>
      </c>
      <c r="C116" s="2">
        <f>IFERROR(__xludf.DUMMYFUNCTION("""COMPUTED_VALUE"""),127.9)</f>
        <v>127.9</v>
      </c>
      <c r="D116" s="2">
        <f>IFERROR(__xludf.DUMMYFUNCTION("""COMPUTED_VALUE"""),125.3)</f>
        <v>125.3</v>
      </c>
      <c r="E116" s="2">
        <f>IFERROR(__xludf.DUMMYFUNCTION("""COMPUTED_VALUE"""),125.49)</f>
        <v>125.49</v>
      </c>
      <c r="F116" s="2">
        <f>IFERROR(__xludf.DUMMYFUNCTION("""COMPUTED_VALUE"""),8.4247104E7)</f>
        <v>84247104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IFERROR(__xludf.DUMMYFUNCTION("""COMPUTED_VALUE"""),124.97)</f>
        <v>124.97</v>
      </c>
      <c r="C117" s="2">
        <f>IFERROR(__xludf.DUMMYFUNCTION("""COMPUTED_VALUE"""),127.25)</f>
        <v>127.25</v>
      </c>
      <c r="D117" s="2">
        <f>IFERROR(__xludf.DUMMYFUNCTION("""COMPUTED_VALUE"""),124.5)</f>
        <v>124.5</v>
      </c>
      <c r="E117" s="2">
        <f>IFERROR(__xludf.DUMMYFUNCTION("""COMPUTED_VALUE"""),125.78)</f>
        <v>125.78</v>
      </c>
      <c r="F117" s="2">
        <f>IFERROR(__xludf.DUMMYFUNCTION("""COMPUTED_VALUE"""),5.6930122E7)</f>
        <v>56930122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IFERROR(__xludf.DUMMYFUNCTION("""COMPUTED_VALUE"""),125.64)</f>
        <v>125.64</v>
      </c>
      <c r="C118" s="2">
        <f>IFERROR(__xludf.DUMMYFUNCTION("""COMPUTED_VALUE"""),126.73)</f>
        <v>126.73</v>
      </c>
      <c r="D118" s="2">
        <f>IFERROR(__xludf.DUMMYFUNCTION("""COMPUTED_VALUE"""),123.85)</f>
        <v>123.85</v>
      </c>
      <c r="E118" s="2">
        <f>IFERROR(__xludf.DUMMYFUNCTION("""COMPUTED_VALUE"""),124.83)</f>
        <v>124.83</v>
      </c>
      <c r="F118" s="2">
        <f>IFERROR(__xludf.DUMMYFUNCTION("""COMPUTED_VALUE"""),5.213767E7)</f>
        <v>52137670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IFERROR(__xludf.DUMMYFUNCTION("""COMPUTED_VALUE"""),125.31)</f>
        <v>125.31</v>
      </c>
      <c r="C119" s="2">
        <f>IFERROR(__xludf.DUMMYFUNCTION("""COMPUTED_VALUE"""),130.33)</f>
        <v>130.33</v>
      </c>
      <c r="D119" s="2">
        <f>IFERROR(__xludf.DUMMYFUNCTION("""COMPUTED_VALUE"""),125.14)</f>
        <v>125.14</v>
      </c>
      <c r="E119" s="2">
        <f>IFERROR(__xludf.DUMMYFUNCTION("""COMPUTED_VALUE"""),130.15)</f>
        <v>130.15</v>
      </c>
      <c r="F119" s="2">
        <f>IFERROR(__xludf.DUMMYFUNCTION("""COMPUTED_VALUE"""),9.0354572E7)</f>
        <v>90354572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IFERROR(__xludf.DUMMYFUNCTION("""COMPUTED_VALUE"""),129.11)</f>
        <v>129.11</v>
      </c>
      <c r="C120" s="2">
        <f>IFERROR(__xludf.DUMMYFUNCTION("""COMPUTED_VALUE"""),130.84)</f>
        <v>130.84</v>
      </c>
      <c r="D120" s="2">
        <f>IFERROR(__xludf.DUMMYFUNCTION("""COMPUTED_VALUE"""),128.28)</f>
        <v>128.28</v>
      </c>
      <c r="E120" s="2">
        <f>IFERROR(__xludf.DUMMYFUNCTION("""COMPUTED_VALUE"""),129.33)</f>
        <v>129.33</v>
      </c>
      <c r="F120" s="2">
        <f>IFERROR(__xludf.DUMMYFUNCTION("""COMPUTED_VALUE"""),7.1927776E7)</f>
        <v>71927776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IFERROR(__xludf.DUMMYFUNCTION("""COMPUTED_VALUE"""),129.33)</f>
        <v>129.33</v>
      </c>
      <c r="C121" s="2">
        <f>IFERROR(__xludf.DUMMYFUNCTION("""COMPUTED_VALUE"""),131.49)</f>
        <v>131.49</v>
      </c>
      <c r="D121" s="2">
        <f>IFERROR(__xludf.DUMMYFUNCTION("""COMPUTED_VALUE"""),127.1)</f>
        <v>127.1</v>
      </c>
      <c r="E121" s="2">
        <f>IFERROR(__xludf.DUMMYFUNCTION("""COMPUTED_VALUE"""),127.33)</f>
        <v>127.33</v>
      </c>
      <c r="F121" s="2">
        <f>IFERROR(__xludf.DUMMYFUNCTION("""COMPUTED_VALUE"""),5.9989317E7)</f>
        <v>59989317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IFERROR(__xludf.DUMMYFUNCTION("""COMPUTED_VALUE"""),128.63)</f>
        <v>128.63</v>
      </c>
      <c r="C122" s="2">
        <f>IFERROR(__xludf.DUMMYFUNCTION("""COMPUTED_VALUE"""),130.09)</f>
        <v>130.09</v>
      </c>
      <c r="D122" s="2">
        <f>IFERROR(__xludf.DUMMYFUNCTION("""COMPUTED_VALUE"""),127.55)</f>
        <v>127.55</v>
      </c>
      <c r="E122" s="2">
        <f>IFERROR(__xludf.DUMMYFUNCTION("""COMPUTED_VALUE"""),129.18)</f>
        <v>129.18</v>
      </c>
      <c r="F122" s="2">
        <f>IFERROR(__xludf.DUMMYFUNCTION("""COMPUTED_VALUE"""),4.6801008E7)</f>
        <v>46801008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IFERROR(__xludf.DUMMYFUNCTION("""COMPUTED_VALUE"""),128.94)</f>
        <v>128.94</v>
      </c>
      <c r="C123" s="2">
        <f>IFERROR(__xludf.DUMMYFUNCTION("""COMPUTED_VALUE"""),131.48)</f>
        <v>131.48</v>
      </c>
      <c r="D123" s="2">
        <f>IFERROR(__xludf.DUMMYFUNCTION("""COMPUTED_VALUE"""),128.44)</f>
        <v>128.44</v>
      </c>
      <c r="E123" s="2">
        <f>IFERROR(__xludf.DUMMYFUNCTION("""COMPUTED_VALUE"""),129.04)</f>
        <v>129.04</v>
      </c>
      <c r="F123" s="2">
        <f>IFERROR(__xludf.DUMMYFUNCTION("""COMPUTED_VALUE"""),5.2149512E7)</f>
        <v>52149512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IFERROR(__xludf.DUMMYFUNCTION("""COMPUTED_VALUE"""),128.77)</f>
        <v>128.77</v>
      </c>
      <c r="C124" s="2">
        <f>IFERROR(__xludf.DUMMYFUNCTION("""COMPUTED_VALUE"""),129.26)</f>
        <v>129.26</v>
      </c>
      <c r="D124" s="2">
        <f>IFERROR(__xludf.DUMMYFUNCTION("""COMPUTED_VALUE"""),127.26)</f>
        <v>127.26</v>
      </c>
      <c r="E124" s="2">
        <f>IFERROR(__xludf.DUMMYFUNCTION("""COMPUTED_VALUE"""),127.9)</f>
        <v>127.9</v>
      </c>
      <c r="F124" s="2">
        <f>IFERROR(__xludf.DUMMYFUNCTION("""COMPUTED_VALUE"""),4.0760959E7)</f>
        <v>40760959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IFERROR(__xludf.DUMMYFUNCTION("""COMPUTED_VALUE"""),129.47)</f>
        <v>129.47</v>
      </c>
      <c r="C125" s="2">
        <f>IFERROR(__xludf.DUMMYFUNCTION("""COMPUTED_VALUE"""),131.25)</f>
        <v>131.25</v>
      </c>
      <c r="D125" s="2">
        <f>IFERROR(__xludf.DUMMYFUNCTION("""COMPUTED_VALUE"""),128.95)</f>
        <v>128.95</v>
      </c>
      <c r="E125" s="2">
        <f>IFERROR(__xludf.DUMMYFUNCTION("""COMPUTED_VALUE"""),130.36)</f>
        <v>130.36</v>
      </c>
      <c r="F125" s="2">
        <f>IFERROR(__xludf.DUMMYFUNCTION("""COMPUTED_VALUE"""),5.4350684E7)</f>
        <v>54350684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IFERROR(__xludf.DUMMYFUNCTION("""COMPUTED_VALUE"""),130.82)</f>
        <v>130.82</v>
      </c>
      <c r="C126" s="2">
        <f>IFERROR(__xludf.DUMMYFUNCTION("""COMPUTED_VALUE"""),131.85)</f>
        <v>131.85</v>
      </c>
      <c r="D126" s="2">
        <f>IFERROR(__xludf.DUMMYFUNCTION("""COMPUTED_VALUE"""),130.07)</f>
        <v>130.07</v>
      </c>
      <c r="E126" s="2">
        <f>IFERROR(__xludf.DUMMYFUNCTION("""COMPUTED_VALUE"""),130.22)</f>
        <v>130.22</v>
      </c>
      <c r="F126" s="2">
        <f>IFERROR(__xludf.DUMMYFUNCTION("""COMPUTED_VALUE"""),2.8264785E7)</f>
        <v>28264785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IFERROR(__xludf.DUMMYFUNCTION("""COMPUTED_VALUE"""),130.24)</f>
        <v>130.24</v>
      </c>
      <c r="C127" s="2">
        <f>IFERROR(__xludf.DUMMYFUNCTION("""COMPUTED_VALUE"""),131.4)</f>
        <v>131.4</v>
      </c>
      <c r="D127" s="2">
        <f>IFERROR(__xludf.DUMMYFUNCTION("""COMPUTED_VALUE"""),129.64)</f>
        <v>129.64</v>
      </c>
      <c r="E127" s="2">
        <f>IFERROR(__xludf.DUMMYFUNCTION("""COMPUTED_VALUE"""),130.38)</f>
        <v>130.38</v>
      </c>
      <c r="F127" s="2">
        <f>IFERROR(__xludf.DUMMYFUNCTION("""COMPUTED_VALUE"""),3.5895409E7)</f>
        <v>35895409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IFERROR(__xludf.DUMMYFUNCTION("""COMPUTED_VALUE"""),128.25)</f>
        <v>128.25</v>
      </c>
      <c r="C128" s="2">
        <f>IFERROR(__xludf.DUMMYFUNCTION("""COMPUTED_VALUE"""),128.73)</f>
        <v>128.73</v>
      </c>
      <c r="D128" s="2">
        <f>IFERROR(__xludf.DUMMYFUNCTION("""COMPUTED_VALUE"""),127.37)</f>
        <v>127.37</v>
      </c>
      <c r="E128" s="2">
        <f>IFERROR(__xludf.DUMMYFUNCTION("""COMPUTED_VALUE"""),128.36)</f>
        <v>128.36</v>
      </c>
      <c r="F128" s="2">
        <f>IFERROR(__xludf.DUMMYFUNCTION("""COMPUTED_VALUE"""),4.0697848E7)</f>
        <v>40697848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IFERROR(__xludf.DUMMYFUNCTION("""COMPUTED_VALUE"""),128.59)</f>
        <v>128.59</v>
      </c>
      <c r="C129" s="2">
        <f>IFERROR(__xludf.DUMMYFUNCTION("""COMPUTED_VALUE"""),130.97)</f>
        <v>130.97</v>
      </c>
      <c r="D129" s="2">
        <f>IFERROR(__xludf.DUMMYFUNCTION("""COMPUTED_VALUE"""),128.13)</f>
        <v>128.13</v>
      </c>
      <c r="E129" s="2">
        <f>IFERROR(__xludf.DUMMYFUNCTION("""COMPUTED_VALUE"""),129.78)</f>
        <v>129.78</v>
      </c>
      <c r="F129" s="2">
        <f>IFERROR(__xludf.DUMMYFUNCTION("""COMPUTED_VALUE"""),4.1992251E7)</f>
        <v>41992251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IFERROR(__xludf.DUMMYFUNCTION("""COMPUTED_VALUE"""),129.07)</f>
        <v>129.07</v>
      </c>
      <c r="C130" s="2">
        <f>IFERROR(__xludf.DUMMYFUNCTION("""COMPUTED_VALUE"""),129.28)</f>
        <v>129.28</v>
      </c>
      <c r="D130" s="2">
        <f>IFERROR(__xludf.DUMMYFUNCTION("""COMPUTED_VALUE"""),125.92)</f>
        <v>125.92</v>
      </c>
      <c r="E130" s="2">
        <f>IFERROR(__xludf.DUMMYFUNCTION("""COMPUTED_VALUE"""),127.13)</f>
        <v>127.13</v>
      </c>
      <c r="F130" s="2">
        <f>IFERROR(__xludf.DUMMYFUNCTION("""COMPUTED_VALUE"""),6.1889289E7)</f>
        <v>61889289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IFERROR(__xludf.DUMMYFUNCTION("""COMPUTED_VALUE"""),127.75)</f>
        <v>127.75</v>
      </c>
      <c r="C131" s="2">
        <f>IFERROR(__xludf.DUMMYFUNCTION("""COMPUTED_VALUE"""),129.77)</f>
        <v>129.77</v>
      </c>
      <c r="D131" s="2">
        <f>IFERROR(__xludf.DUMMYFUNCTION("""COMPUTED_VALUE"""),127.35)</f>
        <v>127.35</v>
      </c>
      <c r="E131" s="2">
        <f>IFERROR(__xludf.DUMMYFUNCTION("""COMPUTED_VALUE"""),128.78)</f>
        <v>128.78</v>
      </c>
      <c r="F131" s="2">
        <f>IFERROR(__xludf.DUMMYFUNCTION("""COMPUTED_VALUE"""),4.995146E7)</f>
        <v>49951460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IFERROR(__xludf.DUMMYFUNCTION("""COMPUTED_VALUE"""),130.31)</f>
        <v>130.31</v>
      </c>
      <c r="C132" s="2">
        <f>IFERROR(__xludf.DUMMYFUNCTION("""COMPUTED_VALUE"""),131.26)</f>
        <v>131.26</v>
      </c>
      <c r="D132" s="2">
        <f>IFERROR(__xludf.DUMMYFUNCTION("""COMPUTED_VALUE"""),128.83)</f>
        <v>128.83</v>
      </c>
      <c r="E132" s="2">
        <f>IFERROR(__xludf.DUMMYFUNCTION("""COMPUTED_VALUE"""),130.8)</f>
        <v>130.8</v>
      </c>
      <c r="F132" s="2">
        <f>IFERROR(__xludf.DUMMYFUNCTION("""COMPUTED_VALUE"""),5.4022847E7)</f>
        <v>54022847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IFERROR(__xludf.DUMMYFUNCTION("""COMPUTED_VALUE"""),134.04)</f>
        <v>134.04</v>
      </c>
      <c r="C133" s="2">
        <f>IFERROR(__xludf.DUMMYFUNCTION("""COMPUTED_VALUE"""),134.67)</f>
        <v>134.67</v>
      </c>
      <c r="D133" s="2">
        <f>IFERROR(__xludf.DUMMYFUNCTION("""COMPUTED_VALUE"""),132.71)</f>
        <v>132.71</v>
      </c>
      <c r="E133" s="2">
        <f>IFERROR(__xludf.DUMMYFUNCTION("""COMPUTED_VALUE"""),134.3)</f>
        <v>134.3</v>
      </c>
      <c r="F133" s="2">
        <f>IFERROR(__xludf.DUMMYFUNCTION("""COMPUTED_VALUE"""),6.1170883E7)</f>
        <v>61170883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IFERROR(__xludf.DUMMYFUNCTION("""COMPUTED_VALUE"""),134.06)</f>
        <v>134.06</v>
      </c>
      <c r="C134" s="2">
        <f>IFERROR(__xludf.DUMMYFUNCTION("""COMPUTED_VALUE"""),136.65)</f>
        <v>136.65</v>
      </c>
      <c r="D134" s="2">
        <f>IFERROR(__xludf.DUMMYFUNCTION("""COMPUTED_VALUE"""),134.06)</f>
        <v>134.06</v>
      </c>
      <c r="E134" s="2">
        <f>IFERROR(__xludf.DUMMYFUNCTION("""COMPUTED_VALUE"""),134.68)</f>
        <v>134.68</v>
      </c>
      <c r="F134" s="2">
        <f>IFERROR(__xludf.DUMMYFUNCTION("""COMPUTED_VALUE"""),5.448709E7)</f>
        <v>54487090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IFERROR(__xludf.DUMMYFUNCTION("""COMPUTED_VALUE"""),134.56)</f>
        <v>134.56</v>
      </c>
      <c r="C135" s="2">
        <f>IFERROR(__xludf.DUMMYFUNCTION("""COMPUTED_VALUE"""),135.62)</f>
        <v>135.62</v>
      </c>
      <c r="D135" s="2">
        <f>IFERROR(__xludf.DUMMYFUNCTION("""COMPUTED_VALUE"""),133.21)</f>
        <v>133.21</v>
      </c>
      <c r="E135" s="2">
        <f>IFERROR(__xludf.DUMMYFUNCTION("""COMPUTED_VALUE"""),133.56)</f>
        <v>133.56</v>
      </c>
      <c r="F135" s="2">
        <f>IFERROR(__xludf.DUMMYFUNCTION("""COMPUTED_VALUE"""),4.8450198E7)</f>
        <v>48450198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IFERROR(__xludf.DUMMYFUNCTION("""COMPUTED_VALUE"""),132.71)</f>
        <v>132.71</v>
      </c>
      <c r="C136" s="2">
        <f>IFERROR(__xludf.DUMMYFUNCTION("""COMPUTED_VALUE"""),133.86)</f>
        <v>133.86</v>
      </c>
      <c r="D136" s="2">
        <f>IFERROR(__xludf.DUMMYFUNCTION("""COMPUTED_VALUE"""),131.35)</f>
        <v>131.35</v>
      </c>
      <c r="E136" s="2">
        <f>IFERROR(__xludf.DUMMYFUNCTION("""COMPUTED_VALUE"""),132.83)</f>
        <v>132.83</v>
      </c>
      <c r="F136" s="2">
        <f>IFERROR(__xludf.DUMMYFUNCTION("""COMPUTED_VALUE"""),5.4969133E7)</f>
        <v>54969133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IFERROR(__xludf.DUMMYFUNCTION("""COMPUTED_VALUE"""),133.39)</f>
        <v>133.39</v>
      </c>
      <c r="C137" s="2">
        <f>IFERROR(__xludf.DUMMYFUNCTION("""COMPUTED_VALUE"""),135.99)</f>
        <v>135.99</v>
      </c>
      <c r="D137" s="2">
        <f>IFERROR(__xludf.DUMMYFUNCTION("""COMPUTED_VALUE"""),132.53)</f>
        <v>132.53</v>
      </c>
      <c r="E137" s="2">
        <f>IFERROR(__xludf.DUMMYFUNCTION("""COMPUTED_VALUE"""),135.36)</f>
        <v>135.36</v>
      </c>
      <c r="F137" s="2">
        <f>IFERROR(__xludf.DUMMYFUNCTION("""COMPUTED_VALUE"""),5.4531037E7)</f>
        <v>54531037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IFERROR(__xludf.DUMMYFUNCTION("""COMPUTED_VALUE"""),134.07)</f>
        <v>134.07</v>
      </c>
      <c r="C138" s="2">
        <f>IFERROR(__xludf.DUMMYFUNCTION("""COMPUTED_VALUE"""),134.79)</f>
        <v>134.79</v>
      </c>
      <c r="D138" s="2">
        <f>IFERROR(__xludf.DUMMYFUNCTION("""COMPUTED_VALUE"""),129.33)</f>
        <v>129.33</v>
      </c>
      <c r="E138" s="2">
        <f>IFERROR(__xludf.DUMMYFUNCTION("""COMPUTED_VALUE"""),129.96)</f>
        <v>129.96</v>
      </c>
      <c r="F138" s="2">
        <f>IFERROR(__xludf.DUMMYFUNCTION("""COMPUTED_VALUE"""),5.9820579E7)</f>
        <v>59820579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IFERROR(__xludf.DUMMYFUNCTION("""COMPUTED_VALUE"""),131.34)</f>
        <v>131.34</v>
      </c>
      <c r="C139" s="2">
        <f>IFERROR(__xludf.DUMMYFUNCTION("""COMPUTED_VALUE"""),131.37)</f>
        <v>131.37</v>
      </c>
      <c r="D139" s="2">
        <f>IFERROR(__xludf.DUMMYFUNCTION("""COMPUTED_VALUE"""),128.42)</f>
        <v>128.42</v>
      </c>
      <c r="E139" s="2">
        <f>IFERROR(__xludf.DUMMYFUNCTION("""COMPUTED_VALUE"""),130.0)</f>
        <v>130</v>
      </c>
      <c r="F139" s="2">
        <f>IFERROR(__xludf.DUMMYFUNCTION("""COMPUTED_VALUE"""),1.33307294E8)</f>
        <v>133307294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IFERROR(__xludf.DUMMYFUNCTION("""COMPUTED_VALUE"""),130.31)</f>
        <v>130.31</v>
      </c>
      <c r="C140" s="2">
        <f>IFERROR(__xludf.DUMMYFUNCTION("""COMPUTED_VALUE"""),131.66)</f>
        <v>131.66</v>
      </c>
      <c r="D140" s="2">
        <f>IFERROR(__xludf.DUMMYFUNCTION("""COMPUTED_VALUE"""),128.35)</f>
        <v>128.35</v>
      </c>
      <c r="E140" s="2">
        <f>IFERROR(__xludf.DUMMYFUNCTION("""COMPUTED_VALUE"""),128.8)</f>
        <v>128.8</v>
      </c>
      <c r="F140" s="2">
        <f>IFERROR(__xludf.DUMMYFUNCTION("""COMPUTED_VALUE"""),4.5671535E7)</f>
        <v>45671535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IFERROR(__xludf.DUMMYFUNCTION("""COMPUTED_VALUE"""),129.31)</f>
        <v>129.31</v>
      </c>
      <c r="C141" s="2">
        <f>IFERROR(__xludf.DUMMYFUNCTION("""COMPUTED_VALUE"""),129.58)</f>
        <v>129.58</v>
      </c>
      <c r="D141" s="2">
        <f>IFERROR(__xludf.DUMMYFUNCTION("""COMPUTED_VALUE"""),128.53)</f>
        <v>128.53</v>
      </c>
      <c r="E141" s="2">
        <f>IFERROR(__xludf.DUMMYFUNCTION("""COMPUTED_VALUE"""),129.13)</f>
        <v>129.13</v>
      </c>
      <c r="F141" s="2">
        <f>IFERROR(__xludf.DUMMYFUNCTION("""COMPUTED_VALUE"""),3.9236663E7)</f>
        <v>39236663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IFERROR(__xludf.DUMMYFUNCTION("""COMPUTED_VALUE"""),126.51)</f>
        <v>126.51</v>
      </c>
      <c r="C142" s="2">
        <f>IFERROR(__xludf.DUMMYFUNCTION("""COMPUTED_VALUE"""),129.08)</f>
        <v>129.08</v>
      </c>
      <c r="D142" s="2">
        <f>IFERROR(__xludf.DUMMYFUNCTION("""COMPUTED_VALUE"""),126.11)</f>
        <v>126.11</v>
      </c>
      <c r="E142" s="2">
        <f>IFERROR(__xludf.DUMMYFUNCTION("""COMPUTED_VALUE"""),128.15)</f>
        <v>128.15</v>
      </c>
      <c r="F142" s="2">
        <f>IFERROR(__xludf.DUMMYFUNCTION("""COMPUTED_VALUE"""),5.3910087E7)</f>
        <v>53910087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IFERROR(__xludf.DUMMYFUNCTION("""COMPUTED_VALUE"""),131.0)</f>
        <v>131</v>
      </c>
      <c r="C143" s="2">
        <f>IFERROR(__xludf.DUMMYFUNCTION("""COMPUTED_VALUE"""),132.63)</f>
        <v>132.63</v>
      </c>
      <c r="D143" s="2">
        <f>IFERROR(__xludf.DUMMYFUNCTION("""COMPUTED_VALUE"""),127.79)</f>
        <v>127.79</v>
      </c>
      <c r="E143" s="2">
        <f>IFERROR(__xludf.DUMMYFUNCTION("""COMPUTED_VALUE"""),128.25)</f>
        <v>128.25</v>
      </c>
      <c r="F143" s="2">
        <f>IFERROR(__xludf.DUMMYFUNCTION("""COMPUTED_VALUE"""),5.2610661E7)</f>
        <v>52610661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IFERROR(__xludf.DUMMYFUNCTION("""COMPUTED_VALUE"""),129.69)</f>
        <v>129.69</v>
      </c>
      <c r="C144" s="2">
        <f>IFERROR(__xludf.DUMMYFUNCTION("""COMPUTED_VALUE"""),133.01)</f>
        <v>133.01</v>
      </c>
      <c r="D144" s="2">
        <f>IFERROR(__xludf.DUMMYFUNCTION("""COMPUTED_VALUE"""),129.33)</f>
        <v>129.33</v>
      </c>
      <c r="E144" s="2">
        <f>IFERROR(__xludf.DUMMYFUNCTION("""COMPUTED_VALUE"""),132.21)</f>
        <v>132.21</v>
      </c>
      <c r="F144" s="2">
        <f>IFERROR(__xludf.DUMMYFUNCTION("""COMPUTED_VALUE"""),4.6317381E7)</f>
        <v>46317381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IFERROR(__xludf.DUMMYFUNCTION("""COMPUTED_VALUE"""),133.2)</f>
        <v>133.2</v>
      </c>
      <c r="C145" s="2">
        <f>IFERROR(__xludf.DUMMYFUNCTION("""COMPUTED_VALUE"""),133.87)</f>
        <v>133.87</v>
      </c>
      <c r="D145" s="2">
        <f>IFERROR(__xludf.DUMMYFUNCTION("""COMPUTED_VALUE"""),132.38)</f>
        <v>132.38</v>
      </c>
      <c r="E145" s="2">
        <f>IFERROR(__xludf.DUMMYFUNCTION("""COMPUTED_VALUE"""),133.68)</f>
        <v>133.68</v>
      </c>
      <c r="F145" s="2">
        <f>IFERROR(__xludf.DUMMYFUNCTION("""COMPUTED_VALUE"""),4.1901516E7)</f>
        <v>41901516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IFERROR(__xludf.DUMMYFUNCTION("""COMPUTED_VALUE"""),133.55)</f>
        <v>133.55</v>
      </c>
      <c r="C146" s="2">
        <f>IFERROR(__xludf.DUMMYFUNCTION("""COMPUTED_VALUE"""),133.69)</f>
        <v>133.69</v>
      </c>
      <c r="D146" s="2">
        <f>IFERROR(__xludf.DUMMYFUNCTION("""COMPUTED_VALUE"""),131.62)</f>
        <v>131.62</v>
      </c>
      <c r="E146" s="2">
        <f>IFERROR(__xludf.DUMMYFUNCTION("""COMPUTED_VALUE"""),131.69)</f>
        <v>131.69</v>
      </c>
      <c r="F146" s="2">
        <f>IFERROR(__xludf.DUMMYFUNCTION("""COMPUTED_VALUE"""),4.2298925E7)</f>
        <v>42298925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IFERROR(__xludf.DUMMYFUNCTION("""COMPUTED_VALUE"""),130.15)</f>
        <v>130.15</v>
      </c>
      <c r="C147" s="2">
        <f>IFERROR(__xludf.DUMMYFUNCTION("""COMPUTED_VALUE"""),130.23)</f>
        <v>130.23</v>
      </c>
      <c r="D147" s="2">
        <f>IFERROR(__xludf.DUMMYFUNCTION("""COMPUTED_VALUE"""),126.82)</f>
        <v>126.82</v>
      </c>
      <c r="E147" s="2">
        <f>IFERROR(__xludf.DUMMYFUNCTION("""COMPUTED_VALUE"""),128.21)</f>
        <v>128.21</v>
      </c>
      <c r="F147" s="2">
        <f>IFERROR(__xludf.DUMMYFUNCTION("""COMPUTED_VALUE"""),5.1027614E7)</f>
        <v>51027614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IFERROR(__xludf.DUMMYFUNCTION("""COMPUTED_VALUE"""),127.48)</f>
        <v>127.48</v>
      </c>
      <c r="C148" s="2">
        <f>IFERROR(__xludf.DUMMYFUNCTION("""COMPUTED_VALUE"""),129.84)</f>
        <v>129.84</v>
      </c>
      <c r="D148" s="2">
        <f>IFERROR(__xludf.DUMMYFUNCTION("""COMPUTED_VALUE"""),126.41)</f>
        <v>126.41</v>
      </c>
      <c r="E148" s="2">
        <f>IFERROR(__xludf.DUMMYFUNCTION("""COMPUTED_VALUE"""),128.91)</f>
        <v>128.91</v>
      </c>
      <c r="F148" s="2">
        <f>IFERROR(__xludf.DUMMYFUNCTION("""COMPUTED_VALUE"""),9.1163736E7)</f>
        <v>91163736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IFERROR(__xludf.DUMMYFUNCTION("""COMPUTED_VALUE"""),141.06)</f>
        <v>141.06</v>
      </c>
      <c r="C149" s="2">
        <f>IFERROR(__xludf.DUMMYFUNCTION("""COMPUTED_VALUE"""),143.63)</f>
        <v>143.63</v>
      </c>
      <c r="D149" s="2">
        <f>IFERROR(__xludf.DUMMYFUNCTION("""COMPUTED_VALUE"""),139.32)</f>
        <v>139.32</v>
      </c>
      <c r="E149" s="2">
        <f>IFERROR(__xludf.DUMMYFUNCTION("""COMPUTED_VALUE"""),139.57)</f>
        <v>139.57</v>
      </c>
      <c r="F149" s="2">
        <f>IFERROR(__xludf.DUMMYFUNCTION("""COMPUTED_VALUE"""),1.5312847E8)</f>
        <v>153128470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IFERROR(__xludf.DUMMYFUNCTION("""COMPUTED_VALUE"""),140.99)</f>
        <v>140.99</v>
      </c>
      <c r="C150" s="2">
        <f>IFERROR(__xludf.DUMMYFUNCTION("""COMPUTED_VALUE"""),142.54)</f>
        <v>142.54</v>
      </c>
      <c r="D150" s="2">
        <f>IFERROR(__xludf.DUMMYFUNCTION("""COMPUTED_VALUE"""),138.95)</f>
        <v>138.95</v>
      </c>
      <c r="E150" s="2">
        <f>IFERROR(__xludf.DUMMYFUNCTION("""COMPUTED_VALUE"""),142.22)</f>
        <v>142.22</v>
      </c>
      <c r="F150" s="2">
        <f>IFERROR(__xludf.DUMMYFUNCTION("""COMPUTED_VALUE"""),7.1213112E7)</f>
        <v>71213112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IFERROR(__xludf.DUMMYFUNCTION("""COMPUTED_VALUE"""),140.62)</f>
        <v>140.62</v>
      </c>
      <c r="C151" s="2">
        <f>IFERROR(__xludf.DUMMYFUNCTION("""COMPUTED_VALUE"""),140.84)</f>
        <v>140.84</v>
      </c>
      <c r="D151" s="2">
        <f>IFERROR(__xludf.DUMMYFUNCTION("""COMPUTED_VALUE"""),138.42)</f>
        <v>138.42</v>
      </c>
      <c r="E151" s="2">
        <f>IFERROR(__xludf.DUMMYFUNCTION("""COMPUTED_VALUE"""),139.94)</f>
        <v>139.94</v>
      </c>
      <c r="F151" s="2">
        <f>IFERROR(__xludf.DUMMYFUNCTION("""COMPUTED_VALUE"""),5.1710497E7)</f>
        <v>51710497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IFERROR(__xludf.DUMMYFUNCTION("""COMPUTED_VALUE"""),139.97)</f>
        <v>139.97</v>
      </c>
      <c r="C152" s="2">
        <f>IFERROR(__xludf.DUMMYFUNCTION("""COMPUTED_VALUE"""),140.32)</f>
        <v>140.32</v>
      </c>
      <c r="D152" s="2">
        <f>IFERROR(__xludf.DUMMYFUNCTION("""COMPUTED_VALUE"""),137.1)</f>
        <v>137.1</v>
      </c>
      <c r="E152" s="2">
        <f>IFERROR(__xludf.DUMMYFUNCTION("""COMPUTED_VALUE"""),137.85)</f>
        <v>137.85</v>
      </c>
      <c r="F152" s="2">
        <f>IFERROR(__xludf.DUMMYFUNCTION("""COMPUTED_VALUE"""),5.0017349E7)</f>
        <v>50017349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IFERROR(__xludf.DUMMYFUNCTION("""COMPUTED_VALUE"""),139.07)</f>
        <v>139.07</v>
      </c>
      <c r="C153" s="2">
        <f>IFERROR(__xludf.DUMMYFUNCTION("""COMPUTED_VALUE"""),140.41)</f>
        <v>140.41</v>
      </c>
      <c r="D153" s="2">
        <f>IFERROR(__xludf.DUMMYFUNCTION("""COMPUTED_VALUE"""),137.49)</f>
        <v>137.49</v>
      </c>
      <c r="E153" s="2">
        <f>IFERROR(__xludf.DUMMYFUNCTION("""COMPUTED_VALUE"""),138.56)</f>
        <v>138.56</v>
      </c>
      <c r="F153" s="2">
        <f>IFERROR(__xludf.DUMMYFUNCTION("""COMPUTED_VALUE"""),5.8928402E7)</f>
        <v>58928402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IFERROR(__xludf.DUMMYFUNCTION("""COMPUTED_VALUE"""),137.4)</f>
        <v>137.4</v>
      </c>
      <c r="C154" s="2">
        <f>IFERROR(__xludf.DUMMYFUNCTION("""COMPUTED_VALUE"""),139.33)</f>
        <v>139.33</v>
      </c>
      <c r="D154" s="2">
        <f>IFERROR(__xludf.DUMMYFUNCTION("""COMPUTED_VALUE"""),137.0)</f>
        <v>137</v>
      </c>
      <c r="E154" s="2">
        <f>IFERROR(__xludf.DUMMYFUNCTION("""COMPUTED_VALUE"""),138.41)</f>
        <v>138.41</v>
      </c>
      <c r="F154" s="2">
        <f>IFERROR(__xludf.DUMMYFUNCTION("""COMPUTED_VALUE"""),4.2905833E7)</f>
        <v>42905833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IFERROR(__xludf.DUMMYFUNCTION("""COMPUTED_VALUE"""),138.3)</f>
        <v>138.3</v>
      </c>
      <c r="C155" s="2">
        <f>IFERROR(__xludf.DUMMYFUNCTION("""COMPUTED_VALUE"""),140.59)</f>
        <v>140.59</v>
      </c>
      <c r="D155" s="2">
        <f>IFERROR(__xludf.DUMMYFUNCTION("""COMPUTED_VALUE"""),137.75)</f>
        <v>137.75</v>
      </c>
      <c r="E155" s="2">
        <f>IFERROR(__xludf.DUMMYFUNCTION("""COMPUTED_VALUE"""),140.57)</f>
        <v>140.57</v>
      </c>
      <c r="F155" s="2">
        <f>IFERROR(__xludf.DUMMYFUNCTION("""COMPUTED_VALUE"""),4.7148699E7)</f>
        <v>47148699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IFERROR(__xludf.DUMMYFUNCTION("""COMPUTED_VALUE"""),140.05)</f>
        <v>140.05</v>
      </c>
      <c r="C156" s="2">
        <f>IFERROR(__xludf.DUMMYFUNCTION("""COMPUTED_VALUE"""),141.28)</f>
        <v>141.28</v>
      </c>
      <c r="D156" s="2">
        <f>IFERROR(__xludf.DUMMYFUNCTION("""COMPUTED_VALUE"""),137.23)</f>
        <v>137.23</v>
      </c>
      <c r="E156" s="2">
        <f>IFERROR(__xludf.DUMMYFUNCTION("""COMPUTED_VALUE"""),137.67)</f>
        <v>137.67</v>
      </c>
      <c r="F156" s="2">
        <f>IFERROR(__xludf.DUMMYFUNCTION("""COMPUTED_VALUE"""),4.2781521E7)</f>
        <v>42781521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IFERROR(__xludf.DUMMYFUNCTION("""COMPUTED_VALUE"""),137.19)</f>
        <v>137.19</v>
      </c>
      <c r="C157" s="2">
        <f>IFERROR(__xludf.DUMMYFUNCTION("""COMPUTED_VALUE"""),137.27)</f>
        <v>137.27</v>
      </c>
      <c r="D157" s="2">
        <f>IFERROR(__xludf.DUMMYFUNCTION("""COMPUTED_VALUE"""),135.01)</f>
        <v>135.01</v>
      </c>
      <c r="E157" s="2">
        <f>IFERROR(__xludf.DUMMYFUNCTION("""COMPUTED_VALUE"""),135.07)</f>
        <v>135.07</v>
      </c>
      <c r="F157" s="2">
        <f>IFERROR(__xludf.DUMMYFUNCTION("""COMPUTED_VALUE"""),4.1675903E7)</f>
        <v>41675903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IFERROR(__xludf.DUMMYFUNCTION("""COMPUTED_VALUE"""),135.46)</f>
        <v>135.46</v>
      </c>
      <c r="C158" s="2">
        <f>IFERROR(__xludf.DUMMYFUNCTION("""COMPUTED_VALUE"""),136.09)</f>
        <v>136.09</v>
      </c>
      <c r="D158" s="2">
        <f>IFERROR(__xludf.DUMMYFUNCTION("""COMPUTED_VALUE"""),133.53)</f>
        <v>133.53</v>
      </c>
      <c r="E158" s="2">
        <f>IFERROR(__xludf.DUMMYFUNCTION("""COMPUTED_VALUE"""),133.98)</f>
        <v>133.98</v>
      </c>
      <c r="F158" s="2">
        <f>IFERROR(__xludf.DUMMYFUNCTION("""COMPUTED_VALUE"""),4.8354085E7)</f>
        <v>48354085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IFERROR(__xludf.DUMMYFUNCTION("""COMPUTED_VALUE"""),131.62)</f>
        <v>131.62</v>
      </c>
      <c r="C159" s="2">
        <f>IFERROR(__xludf.DUMMYFUNCTION("""COMPUTED_VALUE"""),134.07)</f>
        <v>134.07</v>
      </c>
      <c r="D159" s="2">
        <f>IFERROR(__xludf.DUMMYFUNCTION("""COMPUTED_VALUE"""),131.15)</f>
        <v>131.15</v>
      </c>
      <c r="E159" s="2">
        <f>IFERROR(__xludf.DUMMYFUNCTION("""COMPUTED_VALUE"""),133.22)</f>
        <v>133.22</v>
      </c>
      <c r="F159" s="2">
        <f>IFERROR(__xludf.DUMMYFUNCTION("""COMPUTED_VALUE"""),4.8497698E7)</f>
        <v>48497698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IFERROR(__xludf.DUMMYFUNCTION("""COMPUTED_VALUE"""),133.74)</f>
        <v>133.74</v>
      </c>
      <c r="C160" s="2">
        <f>IFERROR(__xludf.DUMMYFUNCTION("""COMPUTED_VALUE"""),135.19)</f>
        <v>135.19</v>
      </c>
      <c r="D160" s="2">
        <f>IFERROR(__xludf.DUMMYFUNCTION("""COMPUTED_VALUE"""),132.71)</f>
        <v>132.71</v>
      </c>
      <c r="E160" s="2">
        <f>IFERROR(__xludf.DUMMYFUNCTION("""COMPUTED_VALUE"""),134.68)</f>
        <v>134.68</v>
      </c>
      <c r="F160" s="2">
        <f>IFERROR(__xludf.DUMMYFUNCTION("""COMPUTED_VALUE"""),4.1442483E7)</f>
        <v>41442483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IFERROR(__xludf.DUMMYFUNCTION("""COMPUTED_VALUE"""),135.08)</f>
        <v>135.08</v>
      </c>
      <c r="C161" s="2">
        <f>IFERROR(__xludf.DUMMYFUNCTION("""COMPUTED_VALUE"""),135.65)</f>
        <v>135.65</v>
      </c>
      <c r="D161" s="2">
        <f>IFERROR(__xludf.DUMMYFUNCTION("""COMPUTED_VALUE"""),133.73)</f>
        <v>133.73</v>
      </c>
      <c r="E161" s="2">
        <f>IFERROR(__xludf.DUMMYFUNCTION("""COMPUTED_VALUE"""),134.25)</f>
        <v>134.25</v>
      </c>
      <c r="F161" s="2">
        <f>IFERROR(__xludf.DUMMYFUNCTION("""COMPUTED_VALUE"""),3.2935104E7)</f>
        <v>32935104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IFERROR(__xludf.DUMMYFUNCTION("""COMPUTED_VALUE"""),134.5)</f>
        <v>134.5</v>
      </c>
      <c r="C162" s="2">
        <f>IFERROR(__xludf.DUMMYFUNCTION("""COMPUTED_VALUE"""),135.95)</f>
        <v>135.95</v>
      </c>
      <c r="D162" s="2">
        <f>IFERROR(__xludf.DUMMYFUNCTION("""COMPUTED_VALUE"""),133.22)</f>
        <v>133.22</v>
      </c>
      <c r="E162" s="2">
        <f>IFERROR(__xludf.DUMMYFUNCTION("""COMPUTED_VALUE"""),135.52)</f>
        <v>135.52</v>
      </c>
      <c r="F162" s="2">
        <f>IFERROR(__xludf.DUMMYFUNCTION("""COMPUTED_VALUE"""),4.2801043E7)</f>
        <v>42801043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IFERROR(__xludf.DUMMYFUNCTION("""COMPUTED_VALUE"""),136.4)</f>
        <v>136.4</v>
      </c>
      <c r="C163" s="2">
        <f>IFERROR(__xludf.DUMMYFUNCTION("""COMPUTED_VALUE"""),136.78)</f>
        <v>136.78</v>
      </c>
      <c r="D163" s="2">
        <f>IFERROR(__xludf.DUMMYFUNCTION("""COMPUTED_VALUE"""),131.83)</f>
        <v>131.83</v>
      </c>
      <c r="E163" s="2">
        <f>IFERROR(__xludf.DUMMYFUNCTION("""COMPUTED_VALUE"""),131.84)</f>
        <v>131.84</v>
      </c>
      <c r="F163" s="2">
        <f>IFERROR(__xludf.DUMMYFUNCTION("""COMPUTED_VALUE"""),4.364625E7)</f>
        <v>43646250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IFERROR(__xludf.DUMMYFUNCTION("""COMPUTED_VALUE"""),132.47)</f>
        <v>132.47</v>
      </c>
      <c r="C164" s="2">
        <f>IFERROR(__xludf.DUMMYFUNCTION("""COMPUTED_VALUE"""),133.87)</f>
        <v>133.87</v>
      </c>
      <c r="D164" s="2">
        <f>IFERROR(__xludf.DUMMYFUNCTION("""COMPUTED_VALUE"""),130.58)</f>
        <v>130.58</v>
      </c>
      <c r="E164" s="2">
        <f>IFERROR(__xludf.DUMMYFUNCTION("""COMPUTED_VALUE"""),133.26)</f>
        <v>133.26</v>
      </c>
      <c r="F164" s="2">
        <f>IFERROR(__xludf.DUMMYFUNCTION("""COMPUTED_VALUE"""),4.4147451E7)</f>
        <v>44147451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IFERROR(__xludf.DUMMYFUNCTION("""COMPUTED_VALUE"""),133.78)</f>
        <v>133.78</v>
      </c>
      <c r="C165" s="2">
        <f>IFERROR(__xludf.DUMMYFUNCTION("""COMPUTED_VALUE"""),133.95)</f>
        <v>133.95</v>
      </c>
      <c r="D165" s="2">
        <f>IFERROR(__xludf.DUMMYFUNCTION("""COMPUTED_VALUE"""),131.85)</f>
        <v>131.85</v>
      </c>
      <c r="E165" s="2">
        <f>IFERROR(__xludf.DUMMYFUNCTION("""COMPUTED_VALUE"""),133.14)</f>
        <v>133.14</v>
      </c>
      <c r="F165" s="2">
        <f>IFERROR(__xludf.DUMMYFUNCTION("""COMPUTED_VALUE"""),3.410841E7)</f>
        <v>34108410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IFERROR(__xludf.DUMMYFUNCTION("""COMPUTED_VALUE"""),133.38)</f>
        <v>133.38</v>
      </c>
      <c r="C166" s="2">
        <f>IFERROR(__xludf.DUMMYFUNCTION("""COMPUTED_VALUE"""),135.14)</f>
        <v>135.14</v>
      </c>
      <c r="D166" s="2">
        <f>IFERROR(__xludf.DUMMYFUNCTION("""COMPUTED_VALUE"""),133.25)</f>
        <v>133.25</v>
      </c>
      <c r="E166" s="2">
        <f>IFERROR(__xludf.DUMMYFUNCTION("""COMPUTED_VALUE"""),134.91)</f>
        <v>134.91</v>
      </c>
      <c r="F166" s="2">
        <f>IFERROR(__xludf.DUMMYFUNCTION("""COMPUTED_VALUE"""),3.8646093E7)</f>
        <v>38646093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IFERROR(__xludf.DUMMYFUNCTION("""COMPUTED_VALUE"""),134.93)</f>
        <v>134.93</v>
      </c>
      <c r="C167" s="2">
        <f>IFERROR(__xludf.DUMMYFUNCTION("""COMPUTED_VALUE"""),135.68)</f>
        <v>135.68</v>
      </c>
      <c r="D167" s="2">
        <f>IFERROR(__xludf.DUMMYFUNCTION("""COMPUTED_VALUE"""),133.92)</f>
        <v>133.92</v>
      </c>
      <c r="E167" s="2">
        <f>IFERROR(__xludf.DUMMYFUNCTION("""COMPUTED_VALUE"""),135.07)</f>
        <v>135.07</v>
      </c>
      <c r="F167" s="2">
        <f>IFERROR(__xludf.DUMMYFUNCTION("""COMPUTED_VALUE"""),3.6137015E7)</f>
        <v>36137015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IFERROR(__xludf.DUMMYFUNCTION("""COMPUTED_VALUE"""),135.06)</f>
        <v>135.06</v>
      </c>
      <c r="C168" s="2">
        <f>IFERROR(__xludf.DUMMYFUNCTION("""COMPUTED_VALUE"""),138.79)</f>
        <v>138.79</v>
      </c>
      <c r="D168" s="2">
        <f>IFERROR(__xludf.DUMMYFUNCTION("""COMPUTED_VALUE"""),135.0)</f>
        <v>135</v>
      </c>
      <c r="E168" s="2">
        <f>IFERROR(__xludf.DUMMYFUNCTION("""COMPUTED_VALUE"""),138.01)</f>
        <v>138.01</v>
      </c>
      <c r="F168" s="2">
        <f>IFERROR(__xludf.DUMMYFUNCTION("""COMPUTED_VALUE"""),5.8781314E7)</f>
        <v>58781314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IFERROR(__xludf.DUMMYFUNCTION("""COMPUTED_VALUE"""),139.46)</f>
        <v>139.46</v>
      </c>
      <c r="C169" s="2">
        <f>IFERROR(__xludf.DUMMYFUNCTION("""COMPUTED_VALUE"""),139.96)</f>
        <v>139.96</v>
      </c>
      <c r="D169" s="2">
        <f>IFERROR(__xludf.DUMMYFUNCTION("""COMPUTED_VALUE"""),136.88)</f>
        <v>136.88</v>
      </c>
      <c r="E169" s="2">
        <f>IFERROR(__xludf.DUMMYFUNCTION("""COMPUTED_VALUE"""),138.12)</f>
        <v>138.12</v>
      </c>
      <c r="F169" s="2">
        <f>IFERROR(__xludf.DUMMYFUNCTION("""COMPUTED_VALUE"""),4.0991536E7)</f>
        <v>40991536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IFERROR(__xludf.DUMMYFUNCTION("""COMPUTED_VALUE"""),137.73)</f>
        <v>137.73</v>
      </c>
      <c r="C170" s="2">
        <f>IFERROR(__xludf.DUMMYFUNCTION("""COMPUTED_VALUE"""),137.8)</f>
        <v>137.8</v>
      </c>
      <c r="D170" s="2">
        <f>IFERROR(__xludf.DUMMYFUNCTION("""COMPUTED_VALUE"""),135.82)</f>
        <v>135.82</v>
      </c>
      <c r="E170" s="2">
        <f>IFERROR(__xludf.DUMMYFUNCTION("""COMPUTED_VALUE"""),137.27)</f>
        <v>137.27</v>
      </c>
      <c r="F170" s="2">
        <f>IFERROR(__xludf.DUMMYFUNCTION("""COMPUTED_VALUE"""),4.0636738E7)</f>
        <v>40636738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IFERROR(__xludf.DUMMYFUNCTION("""COMPUTED_VALUE"""),136.32)</f>
        <v>136.32</v>
      </c>
      <c r="C171" s="2">
        <f>IFERROR(__xludf.DUMMYFUNCTION("""COMPUTED_VALUE"""),137.45)</f>
        <v>137.45</v>
      </c>
      <c r="D171" s="2">
        <f>IFERROR(__xludf.DUMMYFUNCTION("""COMPUTED_VALUE"""),134.61)</f>
        <v>134.61</v>
      </c>
      <c r="E171" s="2">
        <f>IFERROR(__xludf.DUMMYFUNCTION("""COMPUTED_VALUE"""),135.36)</f>
        <v>135.36</v>
      </c>
      <c r="F171" s="2">
        <f>IFERROR(__xludf.DUMMYFUNCTION("""COMPUTED_VALUE"""),4.1785507E7)</f>
        <v>41785507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IFERROR(__xludf.DUMMYFUNCTION("""COMPUTED_VALUE"""),133.9)</f>
        <v>133.9</v>
      </c>
      <c r="C172" s="2">
        <f>IFERROR(__xludf.DUMMYFUNCTION("""COMPUTED_VALUE"""),138.03)</f>
        <v>138.03</v>
      </c>
      <c r="D172" s="2">
        <f>IFERROR(__xludf.DUMMYFUNCTION("""COMPUTED_VALUE"""),133.16)</f>
        <v>133.16</v>
      </c>
      <c r="E172" s="2">
        <f>IFERROR(__xludf.DUMMYFUNCTION("""COMPUTED_VALUE"""),137.85)</f>
        <v>137.85</v>
      </c>
      <c r="F172" s="2">
        <f>IFERROR(__xludf.DUMMYFUNCTION("""COMPUTED_VALUE"""),4.8498912E7)</f>
        <v>48498912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IFERROR(__xludf.DUMMYFUNCTION("""COMPUTED_VALUE"""),136.86)</f>
        <v>136.86</v>
      </c>
      <c r="C173" s="2">
        <f>IFERROR(__xludf.DUMMYFUNCTION("""COMPUTED_VALUE"""),138.85)</f>
        <v>138.85</v>
      </c>
      <c r="D173" s="2">
        <f>IFERROR(__xludf.DUMMYFUNCTION("""COMPUTED_VALUE"""),136.75)</f>
        <v>136.75</v>
      </c>
      <c r="E173" s="2">
        <f>IFERROR(__xludf.DUMMYFUNCTION("""COMPUTED_VALUE"""),138.23)</f>
        <v>138.23</v>
      </c>
      <c r="F173" s="2">
        <f>IFERROR(__xludf.DUMMYFUNCTION("""COMPUTED_VALUE"""),3.8365929E7)</f>
        <v>38365929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IFERROR(__xludf.DUMMYFUNCTION("""COMPUTED_VALUE"""),138.75)</f>
        <v>138.75</v>
      </c>
      <c r="C174" s="2">
        <f>IFERROR(__xludf.DUMMYFUNCTION("""COMPUTED_VALUE"""),143.62)</f>
        <v>143.62</v>
      </c>
      <c r="D174" s="2">
        <f>IFERROR(__xludf.DUMMYFUNCTION("""COMPUTED_VALUE"""),138.64)</f>
        <v>138.64</v>
      </c>
      <c r="E174" s="2">
        <f>IFERROR(__xludf.DUMMYFUNCTION("""COMPUTED_VALUE"""),143.1)</f>
        <v>143.1</v>
      </c>
      <c r="F174" s="2">
        <f>IFERROR(__xludf.DUMMYFUNCTION("""COMPUTED_VALUE"""),5.6764525E7)</f>
        <v>56764525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IFERROR(__xludf.DUMMYFUNCTION("""COMPUTED_VALUE"""),142.32)</f>
        <v>142.32</v>
      </c>
      <c r="C175" s="2">
        <f>IFERROR(__xludf.DUMMYFUNCTION("""COMPUTED_VALUE"""),143.0)</f>
        <v>143</v>
      </c>
      <c r="D175" s="2">
        <f>IFERROR(__xludf.DUMMYFUNCTION("""COMPUTED_VALUE"""),140.61)</f>
        <v>140.61</v>
      </c>
      <c r="E175" s="2">
        <f>IFERROR(__xludf.DUMMYFUNCTION("""COMPUTED_VALUE"""),141.23)</f>
        <v>141.23</v>
      </c>
      <c r="F175" s="2">
        <f>IFERROR(__xludf.DUMMYFUNCTION("""COMPUTED_VALUE"""),4.2668452E7)</f>
        <v>42668452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IFERROR(__xludf.DUMMYFUNCTION("""COMPUTED_VALUE"""),140.95)</f>
        <v>140.95</v>
      </c>
      <c r="C176" s="2">
        <f>IFERROR(__xludf.DUMMYFUNCTION("""COMPUTED_VALUE"""),144.98)</f>
        <v>144.98</v>
      </c>
      <c r="D176" s="2">
        <f>IFERROR(__xludf.DUMMYFUNCTION("""COMPUTED_VALUE"""),140.87)</f>
        <v>140.87</v>
      </c>
      <c r="E176" s="2">
        <f>IFERROR(__xludf.DUMMYFUNCTION("""COMPUTED_VALUE"""),144.85)</f>
        <v>144.85</v>
      </c>
      <c r="F176" s="2">
        <f>IFERROR(__xludf.DUMMYFUNCTION("""COMPUTED_VALUE"""),6.0465175E7)</f>
        <v>60465175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IFERROR(__xludf.DUMMYFUNCTION("""COMPUTED_VALUE"""),145.08)</f>
        <v>145.08</v>
      </c>
      <c r="C177" s="2">
        <f>IFERROR(__xludf.DUMMYFUNCTION("""COMPUTED_VALUE"""),145.86)</f>
        <v>145.86</v>
      </c>
      <c r="D177" s="2">
        <f>IFERROR(__xludf.DUMMYFUNCTION("""COMPUTED_VALUE"""),142.95)</f>
        <v>142.95</v>
      </c>
      <c r="E177" s="2">
        <f>IFERROR(__xludf.DUMMYFUNCTION("""COMPUTED_VALUE"""),144.72)</f>
        <v>144.72</v>
      </c>
      <c r="F177" s="2">
        <f>IFERROR(__xludf.DUMMYFUNCTION("""COMPUTED_VALUE"""),6.4033607E7)</f>
        <v>64033607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IFERROR(__xludf.DUMMYFUNCTION("""COMPUTED_VALUE"""),142.69)</f>
        <v>142.69</v>
      </c>
      <c r="C178" s="2">
        <f>IFERROR(__xludf.DUMMYFUNCTION("""COMPUTED_VALUE"""),143.57)</f>
        <v>143.57</v>
      </c>
      <c r="D178" s="2">
        <f>IFERROR(__xludf.DUMMYFUNCTION("""COMPUTED_VALUE"""),140.09)</f>
        <v>140.09</v>
      </c>
      <c r="E178" s="2">
        <f>IFERROR(__xludf.DUMMYFUNCTION("""COMPUTED_VALUE"""),140.39)</f>
        <v>140.39</v>
      </c>
      <c r="F178" s="2">
        <f>IFERROR(__xludf.DUMMYFUNCTION("""COMPUTED_VALUE"""),1.02909327E8)</f>
        <v>102909327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IFERROR(__xludf.DUMMYFUNCTION("""COMPUTED_VALUE"""),140.48)</f>
        <v>140.48</v>
      </c>
      <c r="C179" s="2">
        <f>IFERROR(__xludf.DUMMYFUNCTION("""COMPUTED_VALUE"""),141.75)</f>
        <v>141.75</v>
      </c>
      <c r="D179" s="2">
        <f>IFERROR(__xludf.DUMMYFUNCTION("""COMPUTED_VALUE"""),139.22)</f>
        <v>139.22</v>
      </c>
      <c r="E179" s="2">
        <f>IFERROR(__xludf.DUMMYFUNCTION("""COMPUTED_VALUE"""),139.98)</f>
        <v>139.98</v>
      </c>
      <c r="F179" s="2">
        <f>IFERROR(__xludf.DUMMYFUNCTION("""COMPUTED_VALUE"""),4.282348E7)</f>
        <v>42823480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IFERROR(__xludf.DUMMYFUNCTION("""COMPUTED_VALUE"""),138.7)</f>
        <v>138.7</v>
      </c>
      <c r="C180" s="2">
        <f>IFERROR(__xludf.DUMMYFUNCTION("""COMPUTED_VALUE"""),138.84)</f>
        <v>138.84</v>
      </c>
      <c r="D180" s="2">
        <f>IFERROR(__xludf.DUMMYFUNCTION("""COMPUTED_VALUE"""),135.56)</f>
        <v>135.56</v>
      </c>
      <c r="E180" s="2">
        <f>IFERROR(__xludf.DUMMYFUNCTION("""COMPUTED_VALUE"""),137.63)</f>
        <v>137.63</v>
      </c>
      <c r="F180" s="2">
        <f>IFERROR(__xludf.DUMMYFUNCTION("""COMPUTED_VALUE"""),6.148247E7)</f>
        <v>61482470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IFERROR(__xludf.DUMMYFUNCTION("""COMPUTED_VALUE"""),138.55)</f>
        <v>138.55</v>
      </c>
      <c r="C181" s="2">
        <f>IFERROR(__xludf.DUMMYFUNCTION("""COMPUTED_VALUE"""),139.37)</f>
        <v>139.37</v>
      </c>
      <c r="D181" s="2">
        <f>IFERROR(__xludf.DUMMYFUNCTION("""COMPUTED_VALUE"""),135.2)</f>
        <v>135.2</v>
      </c>
      <c r="E181" s="2">
        <f>IFERROR(__xludf.DUMMYFUNCTION("""COMPUTED_VALUE"""),135.29)</f>
        <v>135.29</v>
      </c>
      <c r="F181" s="2">
        <f>IFERROR(__xludf.DUMMYFUNCTION("""COMPUTED_VALUE"""),4.6263716E7)</f>
        <v>46263716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IFERROR(__xludf.DUMMYFUNCTION("""COMPUTED_VALUE"""),131.94)</f>
        <v>131.94</v>
      </c>
      <c r="C182" s="2">
        <f>IFERROR(__xludf.DUMMYFUNCTION("""COMPUTED_VALUE"""),132.24)</f>
        <v>132.24</v>
      </c>
      <c r="D182" s="2">
        <f>IFERROR(__xludf.DUMMYFUNCTION("""COMPUTED_VALUE"""),129.31)</f>
        <v>129.31</v>
      </c>
      <c r="E182" s="2">
        <f>IFERROR(__xludf.DUMMYFUNCTION("""COMPUTED_VALUE"""),129.33)</f>
        <v>129.33</v>
      </c>
      <c r="F182" s="2">
        <f>IFERROR(__xludf.DUMMYFUNCTION("""COMPUTED_VALUE"""),7.0343342E7)</f>
        <v>70343342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IFERROR(__xludf.DUMMYFUNCTION("""COMPUTED_VALUE"""),131.11)</f>
        <v>131.11</v>
      </c>
      <c r="C183" s="2">
        <f>IFERROR(__xludf.DUMMYFUNCTION("""COMPUTED_VALUE"""),132.03)</f>
        <v>132.03</v>
      </c>
      <c r="D183" s="2">
        <f>IFERROR(__xludf.DUMMYFUNCTION("""COMPUTED_VALUE"""),128.52)</f>
        <v>128.52</v>
      </c>
      <c r="E183" s="2">
        <f>IFERROR(__xludf.DUMMYFUNCTION("""COMPUTED_VALUE"""),129.12)</f>
        <v>129.12</v>
      </c>
      <c r="F183" s="2">
        <f>IFERROR(__xludf.DUMMYFUNCTION("""COMPUTED_VALUE"""),5.9904348E7)</f>
        <v>59904348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IFERROR(__xludf.DUMMYFUNCTION("""COMPUTED_VALUE"""),129.36)</f>
        <v>129.36</v>
      </c>
      <c r="C184" s="2">
        <f>IFERROR(__xludf.DUMMYFUNCTION("""COMPUTED_VALUE"""),131.78)</f>
        <v>131.78</v>
      </c>
      <c r="D184" s="2">
        <f>IFERROR(__xludf.DUMMYFUNCTION("""COMPUTED_VALUE"""),128.77)</f>
        <v>128.77</v>
      </c>
      <c r="E184" s="2">
        <f>IFERROR(__xludf.DUMMYFUNCTION("""COMPUTED_VALUE"""),131.27)</f>
        <v>131.27</v>
      </c>
      <c r="F184" s="2">
        <f>IFERROR(__xludf.DUMMYFUNCTION("""COMPUTED_VALUE"""),4.6017825E7)</f>
        <v>46017825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IFERROR(__xludf.DUMMYFUNCTION("""COMPUTED_VALUE"""),130.12)</f>
        <v>130.12</v>
      </c>
      <c r="C185" s="2">
        <f>IFERROR(__xludf.DUMMYFUNCTION("""COMPUTED_VALUE"""),130.39)</f>
        <v>130.39</v>
      </c>
      <c r="D185" s="2">
        <f>IFERROR(__xludf.DUMMYFUNCTION("""COMPUTED_VALUE"""),125.28)</f>
        <v>125.28</v>
      </c>
      <c r="E185" s="2">
        <f>IFERROR(__xludf.DUMMYFUNCTION("""COMPUTED_VALUE"""),125.98)</f>
        <v>125.98</v>
      </c>
      <c r="F185" s="2">
        <f>IFERROR(__xludf.DUMMYFUNCTION("""COMPUTED_VALUE"""),7.3048207E7)</f>
        <v>73048207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IFERROR(__xludf.DUMMYFUNCTION("""COMPUTED_VALUE"""),125.76)</f>
        <v>125.76</v>
      </c>
      <c r="C186" s="2">
        <f>IFERROR(__xludf.DUMMYFUNCTION("""COMPUTED_VALUE"""),127.48)</f>
        <v>127.48</v>
      </c>
      <c r="D186" s="2">
        <f>IFERROR(__xludf.DUMMYFUNCTION("""COMPUTED_VALUE"""),124.13)</f>
        <v>124.13</v>
      </c>
      <c r="E186" s="2">
        <f>IFERROR(__xludf.DUMMYFUNCTION("""COMPUTED_VALUE"""),125.98)</f>
        <v>125.98</v>
      </c>
      <c r="F186" s="2">
        <f>IFERROR(__xludf.DUMMYFUNCTION("""COMPUTED_VALUE"""),6.6553449E7)</f>
        <v>66553449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IFERROR(__xludf.DUMMYFUNCTION("""COMPUTED_VALUE"""),124.04)</f>
        <v>124.04</v>
      </c>
      <c r="C187" s="2">
        <f>IFERROR(__xludf.DUMMYFUNCTION("""COMPUTED_VALUE"""),126.58)</f>
        <v>126.58</v>
      </c>
      <c r="D187" s="2">
        <f>IFERROR(__xludf.DUMMYFUNCTION("""COMPUTED_VALUE"""),123.04)</f>
        <v>123.04</v>
      </c>
      <c r="E187" s="2">
        <f>IFERROR(__xludf.DUMMYFUNCTION("""COMPUTED_VALUE"""),125.98)</f>
        <v>125.98</v>
      </c>
      <c r="F187" s="2">
        <f>IFERROR(__xludf.DUMMYFUNCTION("""COMPUTED_VALUE"""),5.4554968E7)</f>
        <v>54554968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IFERROR(__xludf.DUMMYFUNCTION("""COMPUTED_VALUE"""),128.2)</f>
        <v>128.2</v>
      </c>
      <c r="C188" s="2">
        <f>IFERROR(__xludf.DUMMYFUNCTION("""COMPUTED_VALUE"""),129.15)</f>
        <v>129.15</v>
      </c>
      <c r="D188" s="2">
        <f>IFERROR(__xludf.DUMMYFUNCTION("""COMPUTED_VALUE"""),126.32)</f>
        <v>126.32</v>
      </c>
      <c r="E188" s="2">
        <f>IFERROR(__xludf.DUMMYFUNCTION("""COMPUTED_VALUE"""),127.12)</f>
        <v>127.12</v>
      </c>
      <c r="F188" s="2">
        <f>IFERROR(__xludf.DUMMYFUNCTION("""COMPUTED_VALUE"""),6.241173E7)</f>
        <v>62411730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IFERROR(__xludf.DUMMYFUNCTION("""COMPUTED_VALUE"""),127.28)</f>
        <v>127.28</v>
      </c>
      <c r="C189" s="2">
        <f>IFERROR(__xludf.DUMMYFUNCTION("""COMPUTED_VALUE"""),130.47)</f>
        <v>130.47</v>
      </c>
      <c r="D189" s="2">
        <f>IFERROR(__xludf.DUMMYFUNCTION("""COMPUTED_VALUE"""),126.54)</f>
        <v>126.54</v>
      </c>
      <c r="E189" s="2">
        <f>IFERROR(__xludf.DUMMYFUNCTION("""COMPUTED_VALUE"""),129.46)</f>
        <v>129.46</v>
      </c>
      <c r="F189" s="2">
        <f>IFERROR(__xludf.DUMMYFUNCTION("""COMPUTED_VALUE"""),4.8029744E7)</f>
        <v>48029744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IFERROR(__xludf.DUMMYFUNCTION("""COMPUTED_VALUE"""),128.06)</f>
        <v>128.06</v>
      </c>
      <c r="C190" s="2">
        <f>IFERROR(__xludf.DUMMYFUNCTION("""COMPUTED_VALUE"""),128.52)</f>
        <v>128.52</v>
      </c>
      <c r="D190" s="2">
        <f>IFERROR(__xludf.DUMMYFUNCTION("""COMPUTED_VALUE"""),124.25)</f>
        <v>124.25</v>
      </c>
      <c r="E190" s="2">
        <f>IFERROR(__xludf.DUMMYFUNCTION("""COMPUTED_VALUE"""),124.72)</f>
        <v>124.72</v>
      </c>
      <c r="F190" s="2">
        <f>IFERROR(__xludf.DUMMYFUNCTION("""COMPUTED_VALUE"""),5.1564991E7)</f>
        <v>51564991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IFERROR(__xludf.DUMMYFUNCTION("""COMPUTED_VALUE"""),126.06)</f>
        <v>126.06</v>
      </c>
      <c r="C191" s="2">
        <f>IFERROR(__xludf.DUMMYFUNCTION("""COMPUTED_VALUE"""),127.36)</f>
        <v>127.36</v>
      </c>
      <c r="D191" s="2">
        <f>IFERROR(__xludf.DUMMYFUNCTION("""COMPUTED_VALUE"""),125.68)</f>
        <v>125.68</v>
      </c>
      <c r="E191" s="2">
        <f>IFERROR(__xludf.DUMMYFUNCTION("""COMPUTED_VALUE"""),127.0)</f>
        <v>127</v>
      </c>
      <c r="F191" s="2">
        <f>IFERROR(__xludf.DUMMYFUNCTION("""COMPUTED_VALUE"""),4.420387E7)</f>
        <v>44203870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IFERROR(__xludf.DUMMYFUNCTION("""COMPUTED_VALUE"""),126.71)</f>
        <v>126.71</v>
      </c>
      <c r="C192" s="2">
        <f>IFERROR(__xludf.DUMMYFUNCTION("""COMPUTED_VALUE"""),126.73)</f>
        <v>126.73</v>
      </c>
      <c r="D192" s="2">
        <f>IFERROR(__xludf.DUMMYFUNCTION("""COMPUTED_VALUE"""),124.33)</f>
        <v>124.33</v>
      </c>
      <c r="E192" s="2">
        <f>IFERROR(__xludf.DUMMYFUNCTION("""COMPUTED_VALUE"""),125.96)</f>
        <v>125.96</v>
      </c>
      <c r="F192" s="2">
        <f>IFERROR(__xludf.DUMMYFUNCTION("""COMPUTED_VALUE"""),3.9660643E7)</f>
        <v>39660643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IFERROR(__xludf.DUMMYFUNCTION("""COMPUTED_VALUE"""),124.16)</f>
        <v>124.16</v>
      </c>
      <c r="C193" s="2">
        <f>IFERROR(__xludf.DUMMYFUNCTION("""COMPUTED_VALUE"""),128.45)</f>
        <v>128.45</v>
      </c>
      <c r="D193" s="2">
        <f>IFERROR(__xludf.DUMMYFUNCTION("""COMPUTED_VALUE"""),124.13)</f>
        <v>124.13</v>
      </c>
      <c r="E193" s="2">
        <f>IFERROR(__xludf.DUMMYFUNCTION("""COMPUTED_VALUE"""),127.96)</f>
        <v>127.96</v>
      </c>
      <c r="F193" s="2">
        <f>IFERROR(__xludf.DUMMYFUNCTION("""COMPUTED_VALUE"""),4.6836698E7)</f>
        <v>46836698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IFERROR(__xludf.DUMMYFUNCTION("""COMPUTED_VALUE"""),126.22)</f>
        <v>126.22</v>
      </c>
      <c r="C194" s="2">
        <f>IFERROR(__xludf.DUMMYFUNCTION("""COMPUTED_VALUE"""),128.79)</f>
        <v>128.79</v>
      </c>
      <c r="D194" s="2">
        <f>IFERROR(__xludf.DUMMYFUNCTION("""COMPUTED_VALUE"""),124.76)</f>
        <v>124.76</v>
      </c>
      <c r="E194" s="2">
        <f>IFERROR(__xludf.DUMMYFUNCTION("""COMPUTED_VALUE"""),128.26)</f>
        <v>128.26</v>
      </c>
      <c r="F194" s="2">
        <f>IFERROR(__xludf.DUMMYFUNCTION("""COMPUTED_VALUE"""),3.8773738E7)</f>
        <v>38773738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IFERROR(__xludf.DUMMYFUNCTION("""COMPUTED_VALUE"""),128.82)</f>
        <v>128.82</v>
      </c>
      <c r="C195" s="2">
        <f>IFERROR(__xludf.DUMMYFUNCTION("""COMPUTED_VALUE"""),130.74)</f>
        <v>130.74</v>
      </c>
      <c r="D195" s="2">
        <f>IFERROR(__xludf.DUMMYFUNCTION("""COMPUTED_VALUE"""),128.05)</f>
        <v>128.05</v>
      </c>
      <c r="E195" s="2">
        <f>IFERROR(__xludf.DUMMYFUNCTION("""COMPUTED_VALUE"""),129.48)</f>
        <v>129.48</v>
      </c>
      <c r="F195" s="2">
        <f>IFERROR(__xludf.DUMMYFUNCTION("""COMPUTED_VALUE"""),4.2178619E7)</f>
        <v>42178619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IFERROR(__xludf.DUMMYFUNCTION("""COMPUTED_VALUE"""),129.74)</f>
        <v>129.74</v>
      </c>
      <c r="C196" s="2">
        <f>IFERROR(__xludf.DUMMYFUNCTION("""COMPUTED_VALUE"""),132.05)</f>
        <v>132.05</v>
      </c>
      <c r="D196" s="2">
        <f>IFERROR(__xludf.DUMMYFUNCTION("""COMPUTED_VALUE"""),129.61)</f>
        <v>129.61</v>
      </c>
      <c r="E196" s="2">
        <f>IFERROR(__xludf.DUMMYFUNCTION("""COMPUTED_VALUE"""),131.83)</f>
        <v>131.83</v>
      </c>
      <c r="F196" s="2">
        <f>IFERROR(__xludf.DUMMYFUNCTION("""COMPUTED_VALUE"""),4.0741842E7)</f>
        <v>40741842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IFERROR(__xludf.DUMMYFUNCTION("""COMPUTED_VALUE"""),132.17)</f>
        <v>132.17</v>
      </c>
      <c r="C197" s="2">
        <f>IFERROR(__xludf.DUMMYFUNCTION("""COMPUTED_VALUE"""),134.48)</f>
        <v>134.48</v>
      </c>
      <c r="D197" s="2">
        <f>IFERROR(__xludf.DUMMYFUNCTION("""COMPUTED_VALUE"""),131.23)</f>
        <v>131.23</v>
      </c>
      <c r="E197" s="2">
        <f>IFERROR(__xludf.DUMMYFUNCTION("""COMPUTED_VALUE"""),132.33)</f>
        <v>132.33</v>
      </c>
      <c r="F197" s="2">
        <f>IFERROR(__xludf.DUMMYFUNCTION("""COMPUTED_VALUE"""),5.5528581E7)</f>
        <v>55528581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IFERROR(__xludf.DUMMYFUNCTION("""COMPUTED_VALUE"""),132.98)</f>
        <v>132.98</v>
      </c>
      <c r="C198" s="2">
        <f>IFERROR(__xludf.DUMMYFUNCTION("""COMPUTED_VALUE"""),133.31)</f>
        <v>133.31</v>
      </c>
      <c r="D198" s="2">
        <f>IFERROR(__xludf.DUMMYFUNCTION("""COMPUTED_VALUE"""),128.95)</f>
        <v>128.95</v>
      </c>
      <c r="E198" s="2">
        <f>IFERROR(__xludf.DUMMYFUNCTION("""COMPUTED_VALUE"""),129.79)</f>
        <v>129.79</v>
      </c>
      <c r="F198" s="2">
        <f>IFERROR(__xludf.DUMMYFUNCTION("""COMPUTED_VALUE"""),4.5824685E7)</f>
        <v>45824685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IFERROR(__xludf.DUMMYFUNCTION("""COMPUTED_VALUE"""),130.69)</f>
        <v>130.69</v>
      </c>
      <c r="C199" s="2">
        <f>IFERROR(__xludf.DUMMYFUNCTION("""COMPUTED_VALUE"""),133.07)</f>
        <v>133.07</v>
      </c>
      <c r="D199" s="2">
        <f>IFERROR(__xludf.DUMMYFUNCTION("""COMPUTED_VALUE"""),130.43)</f>
        <v>130.43</v>
      </c>
      <c r="E199" s="2">
        <f>IFERROR(__xludf.DUMMYFUNCTION("""COMPUTED_VALUE"""),132.55)</f>
        <v>132.55</v>
      </c>
      <c r="F199" s="2">
        <f>IFERROR(__xludf.DUMMYFUNCTION("""COMPUTED_VALUE"""),4.2832918E7)</f>
        <v>42832918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IFERROR(__xludf.DUMMYFUNCTION("""COMPUTED_VALUE"""),130.39)</f>
        <v>130.39</v>
      </c>
      <c r="C200" s="2">
        <f>IFERROR(__xludf.DUMMYFUNCTION("""COMPUTED_VALUE"""),132.58)</f>
        <v>132.58</v>
      </c>
      <c r="D200" s="2">
        <f>IFERROR(__xludf.DUMMYFUNCTION("""COMPUTED_VALUE"""),128.71)</f>
        <v>128.71</v>
      </c>
      <c r="E200" s="2">
        <f>IFERROR(__xludf.DUMMYFUNCTION("""COMPUTED_VALUE"""),131.47)</f>
        <v>131.47</v>
      </c>
      <c r="F200" s="2">
        <f>IFERROR(__xludf.DUMMYFUNCTION("""COMPUTED_VALUE"""),4.934455E7)</f>
        <v>49344550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IFERROR(__xludf.DUMMYFUNCTION("""COMPUTED_VALUE"""),129.9)</f>
        <v>129.9</v>
      </c>
      <c r="C201" s="2">
        <f>IFERROR(__xludf.DUMMYFUNCTION("""COMPUTED_VALUE"""),130.67)</f>
        <v>130.67</v>
      </c>
      <c r="D201" s="2">
        <f>IFERROR(__xludf.DUMMYFUNCTION("""COMPUTED_VALUE"""),127.51)</f>
        <v>127.51</v>
      </c>
      <c r="E201" s="2">
        <f>IFERROR(__xludf.DUMMYFUNCTION("""COMPUTED_VALUE"""),128.13)</f>
        <v>128.13</v>
      </c>
      <c r="F201" s="2">
        <f>IFERROR(__xludf.DUMMYFUNCTION("""COMPUTED_VALUE"""),4.2699479E7)</f>
        <v>42699479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IFERROR(__xludf.DUMMYFUNCTION("""COMPUTED_VALUE"""),130.57)</f>
        <v>130.57</v>
      </c>
      <c r="C202" s="2">
        <f>IFERROR(__xludf.DUMMYFUNCTION("""COMPUTED_VALUE"""),132.24)</f>
        <v>132.24</v>
      </c>
      <c r="D202" s="2">
        <f>IFERROR(__xludf.DUMMYFUNCTION("""COMPUTED_VALUE"""),127.47)</f>
        <v>127.47</v>
      </c>
      <c r="E202" s="2">
        <f>IFERROR(__xludf.DUMMYFUNCTION("""COMPUTED_VALUE"""),128.4)</f>
        <v>128.4</v>
      </c>
      <c r="F202" s="2">
        <f>IFERROR(__xludf.DUMMYFUNCTION("""COMPUTED_VALUE"""),6.0961355E7)</f>
        <v>60961355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IFERROR(__xludf.DUMMYFUNCTION("""COMPUTED_VALUE"""),128.05)</f>
        <v>128.05</v>
      </c>
      <c r="C203" s="2">
        <f>IFERROR(__xludf.DUMMYFUNCTION("""COMPUTED_VALUE"""),128.17)</f>
        <v>128.17</v>
      </c>
      <c r="D203" s="2">
        <f>IFERROR(__xludf.DUMMYFUNCTION("""COMPUTED_VALUE"""),124.97)</f>
        <v>124.97</v>
      </c>
      <c r="E203" s="2">
        <f>IFERROR(__xludf.DUMMYFUNCTION("""COMPUTED_VALUE"""),125.17)</f>
        <v>125.17</v>
      </c>
      <c r="F203" s="2">
        <f>IFERROR(__xludf.DUMMYFUNCTION("""COMPUTED_VALUE"""),5.640641E7)</f>
        <v>56406410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IFERROR(__xludf.DUMMYFUNCTION("""COMPUTED_VALUE"""),124.63)</f>
        <v>124.63</v>
      </c>
      <c r="C204" s="2">
        <f>IFERROR(__xludf.DUMMYFUNCTION("""COMPUTED_VALUE"""),127.88)</f>
        <v>127.88</v>
      </c>
      <c r="D204" s="2">
        <f>IFERROR(__xludf.DUMMYFUNCTION("""COMPUTED_VALUE"""),123.98)</f>
        <v>123.98</v>
      </c>
      <c r="E204" s="2">
        <f>IFERROR(__xludf.DUMMYFUNCTION("""COMPUTED_VALUE"""),126.56)</f>
        <v>126.56</v>
      </c>
      <c r="F204" s="2">
        <f>IFERROR(__xludf.DUMMYFUNCTION("""COMPUTED_VALUE"""),4.8259953E7)</f>
        <v>48259953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IFERROR(__xludf.DUMMYFUNCTION("""COMPUTED_VALUE"""),127.74)</f>
        <v>127.74</v>
      </c>
      <c r="C205" s="2">
        <f>IFERROR(__xludf.DUMMYFUNCTION("""COMPUTED_VALUE"""),128.8)</f>
        <v>128.8</v>
      </c>
      <c r="D205" s="2">
        <f>IFERROR(__xludf.DUMMYFUNCTION("""COMPUTED_VALUE"""),126.34)</f>
        <v>126.34</v>
      </c>
      <c r="E205" s="2">
        <f>IFERROR(__xludf.DUMMYFUNCTION("""COMPUTED_VALUE"""),128.56)</f>
        <v>128.56</v>
      </c>
      <c r="F205" s="2">
        <f>IFERROR(__xludf.DUMMYFUNCTION("""COMPUTED_VALUE"""),4.6477355E7)</f>
        <v>46477355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IFERROR(__xludf.DUMMYFUNCTION("""COMPUTED_VALUE"""),126.04)</f>
        <v>126.04</v>
      </c>
      <c r="C206" s="2">
        <f>IFERROR(__xludf.DUMMYFUNCTION("""COMPUTED_VALUE"""),126.34)</f>
        <v>126.34</v>
      </c>
      <c r="D206" s="2">
        <f>IFERROR(__xludf.DUMMYFUNCTION("""COMPUTED_VALUE"""),120.79)</f>
        <v>120.79</v>
      </c>
      <c r="E206" s="2">
        <f>IFERROR(__xludf.DUMMYFUNCTION("""COMPUTED_VALUE"""),121.39)</f>
        <v>121.39</v>
      </c>
      <c r="F206" s="2">
        <f>IFERROR(__xludf.DUMMYFUNCTION("""COMPUTED_VALUE"""),7.4577544E7)</f>
        <v>74577544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IFERROR(__xludf.DUMMYFUNCTION("""COMPUTED_VALUE"""),120.63)</f>
        <v>120.63</v>
      </c>
      <c r="C207" s="2">
        <f>IFERROR(__xludf.DUMMYFUNCTION("""COMPUTED_VALUE"""),121.64)</f>
        <v>121.64</v>
      </c>
      <c r="D207" s="2">
        <f>IFERROR(__xludf.DUMMYFUNCTION("""COMPUTED_VALUE"""),118.35)</f>
        <v>118.35</v>
      </c>
      <c r="E207" s="2">
        <f>IFERROR(__xludf.DUMMYFUNCTION("""COMPUTED_VALUE"""),119.57)</f>
        <v>119.57</v>
      </c>
      <c r="F207" s="2">
        <f>IFERROR(__xludf.DUMMYFUNCTION("""COMPUTED_VALUE"""),1.00419516E8)</f>
        <v>100419516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IFERROR(__xludf.DUMMYFUNCTION("""COMPUTED_VALUE"""),126.2)</f>
        <v>126.2</v>
      </c>
      <c r="C208" s="2">
        <f>IFERROR(__xludf.DUMMYFUNCTION("""COMPUTED_VALUE"""),130.02)</f>
        <v>130.02</v>
      </c>
      <c r="D208" s="2">
        <f>IFERROR(__xludf.DUMMYFUNCTION("""COMPUTED_VALUE"""),125.52)</f>
        <v>125.52</v>
      </c>
      <c r="E208" s="2">
        <f>IFERROR(__xludf.DUMMYFUNCTION("""COMPUTED_VALUE"""),127.74)</f>
        <v>127.74</v>
      </c>
      <c r="F208" s="2">
        <f>IFERROR(__xludf.DUMMYFUNCTION("""COMPUTED_VALUE"""),1.25309313E8)</f>
        <v>125309313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IFERROR(__xludf.DUMMYFUNCTION("""COMPUTED_VALUE"""),129.72)</f>
        <v>129.72</v>
      </c>
      <c r="C209" s="2">
        <f>IFERROR(__xludf.DUMMYFUNCTION("""COMPUTED_VALUE"""),133.0)</f>
        <v>133</v>
      </c>
      <c r="D209" s="2">
        <f>IFERROR(__xludf.DUMMYFUNCTION("""COMPUTED_VALUE"""),128.56)</f>
        <v>128.56</v>
      </c>
      <c r="E209" s="2">
        <f>IFERROR(__xludf.DUMMYFUNCTION("""COMPUTED_VALUE"""),132.71)</f>
        <v>132.71</v>
      </c>
      <c r="F209" s="2">
        <f>IFERROR(__xludf.DUMMYFUNCTION("""COMPUTED_VALUE"""),7.2485542E7)</f>
        <v>72485542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IFERROR(__xludf.DUMMYFUNCTION("""COMPUTED_VALUE"""),132.75)</f>
        <v>132.75</v>
      </c>
      <c r="C210" s="2">
        <f>IFERROR(__xludf.DUMMYFUNCTION("""COMPUTED_VALUE"""),133.57)</f>
        <v>133.57</v>
      </c>
      <c r="D210" s="2">
        <f>IFERROR(__xludf.DUMMYFUNCTION("""COMPUTED_VALUE"""),131.71)</f>
        <v>131.71</v>
      </c>
      <c r="E210" s="2">
        <f>IFERROR(__xludf.DUMMYFUNCTION("""COMPUTED_VALUE"""),133.09)</f>
        <v>133.09</v>
      </c>
      <c r="F210" s="2">
        <f>IFERROR(__xludf.DUMMYFUNCTION("""COMPUTED_VALUE"""),5.158938E7)</f>
        <v>51589380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IFERROR(__xludf.DUMMYFUNCTION("""COMPUTED_VALUE"""),133.96)</f>
        <v>133.96</v>
      </c>
      <c r="C211" s="2">
        <f>IFERROR(__xludf.DUMMYFUNCTION("""COMPUTED_VALUE"""),137.35)</f>
        <v>137.35</v>
      </c>
      <c r="D211" s="2">
        <f>IFERROR(__xludf.DUMMYFUNCTION("""COMPUTED_VALUE"""),133.71)</f>
        <v>133.71</v>
      </c>
      <c r="E211" s="2">
        <f>IFERROR(__xludf.DUMMYFUNCTION("""COMPUTED_VALUE"""),137.0)</f>
        <v>137</v>
      </c>
      <c r="F211" s="2">
        <f>IFERROR(__xludf.DUMMYFUNCTION("""COMPUTED_VALUE"""),6.1529409E7)</f>
        <v>61529409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IFERROR(__xludf.DUMMYFUNCTION("""COMPUTED_VALUE"""),138.73)</f>
        <v>138.73</v>
      </c>
      <c r="C212" s="2">
        <f>IFERROR(__xludf.DUMMYFUNCTION("""COMPUTED_VALUE"""),138.81)</f>
        <v>138.81</v>
      </c>
      <c r="D212" s="2">
        <f>IFERROR(__xludf.DUMMYFUNCTION("""COMPUTED_VALUE"""),136.47)</f>
        <v>136.47</v>
      </c>
      <c r="E212" s="2">
        <f>IFERROR(__xludf.DUMMYFUNCTION("""COMPUTED_VALUE"""),138.07)</f>
        <v>138.07</v>
      </c>
      <c r="F212" s="2">
        <f>IFERROR(__xludf.DUMMYFUNCTION("""COMPUTED_VALUE"""),5.2236693E7)</f>
        <v>52236693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IFERROR(__xludf.DUMMYFUNCTION("""COMPUTED_VALUE"""),138.99)</f>
        <v>138.99</v>
      </c>
      <c r="C213" s="2">
        <f>IFERROR(__xludf.DUMMYFUNCTION("""COMPUTED_VALUE"""),139.49)</f>
        <v>139.49</v>
      </c>
      <c r="D213" s="2">
        <f>IFERROR(__xludf.DUMMYFUNCTION("""COMPUTED_VALUE"""),137.45)</f>
        <v>137.45</v>
      </c>
      <c r="E213" s="2">
        <f>IFERROR(__xludf.DUMMYFUNCTION("""COMPUTED_VALUE"""),138.6)</f>
        <v>138.6</v>
      </c>
      <c r="F213" s="2">
        <f>IFERROR(__xludf.DUMMYFUNCTION("""COMPUTED_VALUE"""),4.4059805E7)</f>
        <v>44059805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IFERROR(__xludf.DUMMYFUNCTION("""COMPUTED_VALUE"""),138.76)</f>
        <v>138.76</v>
      </c>
      <c r="C214" s="2">
        <f>IFERROR(__xludf.DUMMYFUNCTION("""COMPUTED_VALUE"""),140.73)</f>
        <v>140.73</v>
      </c>
      <c r="D214" s="2">
        <f>IFERROR(__xludf.DUMMYFUNCTION("""COMPUTED_VALUE"""),138.36)</f>
        <v>138.36</v>
      </c>
      <c r="E214" s="2">
        <f>IFERROR(__xludf.DUMMYFUNCTION("""COMPUTED_VALUE"""),139.74)</f>
        <v>139.74</v>
      </c>
      <c r="F214" s="2">
        <f>IFERROR(__xludf.DUMMYFUNCTION("""COMPUTED_VALUE"""),4.4970417E7)</f>
        <v>44970417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IFERROR(__xludf.DUMMYFUNCTION("""COMPUTED_VALUE"""),140.55)</f>
        <v>140.55</v>
      </c>
      <c r="C215" s="2">
        <f>IFERROR(__xludf.DUMMYFUNCTION("""COMPUTED_VALUE"""),143.37)</f>
        <v>143.37</v>
      </c>
      <c r="D215" s="2">
        <f>IFERROR(__xludf.DUMMYFUNCTION("""COMPUTED_VALUE"""),140.5)</f>
        <v>140.5</v>
      </c>
      <c r="E215" s="2">
        <f>IFERROR(__xludf.DUMMYFUNCTION("""COMPUTED_VALUE"""),142.71)</f>
        <v>142.71</v>
      </c>
      <c r="F215" s="2">
        <f>IFERROR(__xludf.DUMMYFUNCTION("""COMPUTED_VALUE"""),5.3553537E7)</f>
        <v>53553537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IFERROR(__xludf.DUMMYFUNCTION("""COMPUTED_VALUE"""),142.97)</f>
        <v>142.97</v>
      </c>
      <c r="C216" s="2">
        <f>IFERROR(__xludf.DUMMYFUNCTION("""COMPUTED_VALUE"""),143.12)</f>
        <v>143.12</v>
      </c>
      <c r="D216" s="2">
        <f>IFERROR(__xludf.DUMMYFUNCTION("""COMPUTED_VALUE"""),141.22)</f>
        <v>141.22</v>
      </c>
      <c r="E216" s="2">
        <f>IFERROR(__xludf.DUMMYFUNCTION("""COMPUTED_VALUE"""),142.08)</f>
        <v>142.08</v>
      </c>
      <c r="F216" s="2">
        <f>IFERROR(__xludf.DUMMYFUNCTION("""COMPUTED_VALUE"""),4.4521658E7)</f>
        <v>44521658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IFERROR(__xludf.DUMMYFUNCTION("""COMPUTED_VALUE"""),142.02)</f>
        <v>142.02</v>
      </c>
      <c r="C217" s="2">
        <f>IFERROR(__xludf.DUMMYFUNCTION("""COMPUTED_VALUE"""),142.65)</f>
        <v>142.65</v>
      </c>
      <c r="D217" s="2">
        <f>IFERROR(__xludf.DUMMYFUNCTION("""COMPUTED_VALUE"""),139.84)</f>
        <v>139.84</v>
      </c>
      <c r="E217" s="2">
        <f>IFERROR(__xludf.DUMMYFUNCTION("""COMPUTED_VALUE"""),140.6)</f>
        <v>140.6</v>
      </c>
      <c r="F217" s="2">
        <f>IFERROR(__xludf.DUMMYFUNCTION("""COMPUTED_VALUE"""),3.6235367E7)</f>
        <v>36235367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IFERROR(__xludf.DUMMYFUNCTION("""COMPUTED_VALUE"""),140.46)</f>
        <v>140.46</v>
      </c>
      <c r="C218" s="2">
        <f>IFERROR(__xludf.DUMMYFUNCTION("""COMPUTED_VALUE"""),143.65)</f>
        <v>143.65</v>
      </c>
      <c r="D218" s="2">
        <f>IFERROR(__xludf.DUMMYFUNCTION("""COMPUTED_VALUE"""),139.91)</f>
        <v>139.91</v>
      </c>
      <c r="E218" s="2">
        <f>IFERROR(__xludf.DUMMYFUNCTION("""COMPUTED_VALUE"""),143.56)</f>
        <v>143.56</v>
      </c>
      <c r="F218" s="2">
        <f>IFERROR(__xludf.DUMMYFUNCTION("""COMPUTED_VALUE"""),4.9349937E7)</f>
        <v>49349937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IFERROR(__xludf.DUMMYFUNCTION("""COMPUTED_VALUE"""),142.08)</f>
        <v>142.08</v>
      </c>
      <c r="C219" s="2">
        <f>IFERROR(__xludf.DUMMYFUNCTION("""COMPUTED_VALUE"""),143.23)</f>
        <v>143.23</v>
      </c>
      <c r="D219" s="2">
        <f>IFERROR(__xludf.DUMMYFUNCTION("""COMPUTED_VALUE"""),140.67)</f>
        <v>140.67</v>
      </c>
      <c r="E219" s="2">
        <f>IFERROR(__xludf.DUMMYFUNCTION("""COMPUTED_VALUE"""),142.59)</f>
        <v>142.59</v>
      </c>
      <c r="F219" s="2">
        <f>IFERROR(__xludf.DUMMYFUNCTION("""COMPUTED_VALUE"""),3.568057E7)</f>
        <v>35680570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IFERROR(__xludf.DUMMYFUNCTION("""COMPUTED_VALUE"""),145.0)</f>
        <v>145</v>
      </c>
      <c r="C220" s="2">
        <f>IFERROR(__xludf.DUMMYFUNCTION("""COMPUTED_VALUE"""),147.26)</f>
        <v>147.26</v>
      </c>
      <c r="D220" s="2">
        <f>IFERROR(__xludf.DUMMYFUNCTION("""COMPUTED_VALUE"""),144.68)</f>
        <v>144.68</v>
      </c>
      <c r="E220" s="2">
        <f>IFERROR(__xludf.DUMMYFUNCTION("""COMPUTED_VALUE"""),145.8)</f>
        <v>145.8</v>
      </c>
      <c r="F220" s="2">
        <f>IFERROR(__xludf.DUMMYFUNCTION("""COMPUTED_VALUE"""),5.6674551E7)</f>
        <v>56674551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IFERROR(__xludf.DUMMYFUNCTION("""COMPUTED_VALUE"""),147.06)</f>
        <v>147.06</v>
      </c>
      <c r="C221" s="2">
        <f>IFERROR(__xludf.DUMMYFUNCTION("""COMPUTED_VALUE"""),147.29)</f>
        <v>147.29</v>
      </c>
      <c r="D221" s="2">
        <f>IFERROR(__xludf.DUMMYFUNCTION("""COMPUTED_VALUE"""),142.59)</f>
        <v>142.59</v>
      </c>
      <c r="E221" s="2">
        <f>IFERROR(__xludf.DUMMYFUNCTION("""COMPUTED_VALUE"""),143.2)</f>
        <v>143.2</v>
      </c>
      <c r="F221" s="2">
        <f>IFERROR(__xludf.DUMMYFUNCTION("""COMPUTED_VALUE"""),6.387572E7)</f>
        <v>63875720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IFERROR(__xludf.DUMMYFUNCTION("""COMPUTED_VALUE"""),140.91)</f>
        <v>140.91</v>
      </c>
      <c r="C222" s="2">
        <f>IFERROR(__xludf.DUMMYFUNCTION("""COMPUTED_VALUE"""),143.32)</f>
        <v>143.32</v>
      </c>
      <c r="D222" s="2">
        <f>IFERROR(__xludf.DUMMYFUNCTION("""COMPUTED_VALUE"""),139.52)</f>
        <v>139.52</v>
      </c>
      <c r="E222" s="2">
        <f>IFERROR(__xludf.DUMMYFUNCTION("""COMPUTED_VALUE"""),142.83)</f>
        <v>142.83</v>
      </c>
      <c r="F222" s="2">
        <f>IFERROR(__xludf.DUMMYFUNCTION("""COMPUTED_VALUE"""),4.9653512E7)</f>
        <v>49653512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IFERROR(__xludf.DUMMYFUNCTION("""COMPUTED_VALUE"""),142.66)</f>
        <v>142.66</v>
      </c>
      <c r="C223" s="2">
        <f>IFERROR(__xludf.DUMMYFUNCTION("""COMPUTED_VALUE"""),145.23)</f>
        <v>145.23</v>
      </c>
      <c r="D223" s="2">
        <f>IFERROR(__xludf.DUMMYFUNCTION("""COMPUTED_VALUE"""),142.54)</f>
        <v>142.54</v>
      </c>
      <c r="E223" s="2">
        <f>IFERROR(__xludf.DUMMYFUNCTION("""COMPUTED_VALUE"""),145.18)</f>
        <v>145.18</v>
      </c>
      <c r="F223" s="2">
        <f>IFERROR(__xludf.DUMMYFUNCTION("""COMPUTED_VALUE"""),4.9678437E7)</f>
        <v>49678437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IFERROR(__xludf.DUMMYFUNCTION("""COMPUTED_VALUE"""),145.13)</f>
        <v>145.13</v>
      </c>
      <c r="C224" s="2">
        <f>IFERROR(__xludf.DUMMYFUNCTION("""COMPUTED_VALUE"""),146.63)</f>
        <v>146.63</v>
      </c>
      <c r="D224" s="2">
        <f>IFERROR(__xludf.DUMMYFUNCTION("""COMPUTED_VALUE"""),144.73)</f>
        <v>144.73</v>
      </c>
      <c r="E224" s="2">
        <f>IFERROR(__xludf.DUMMYFUNCTION("""COMPUTED_VALUE"""),146.13)</f>
        <v>146.13</v>
      </c>
      <c r="F224" s="2">
        <f>IFERROR(__xludf.DUMMYFUNCTION("""COMPUTED_VALUE"""),4.1978766E7)</f>
        <v>41978766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IFERROR(__xludf.DUMMYFUNCTION("""COMPUTED_VALUE"""),143.91)</f>
        <v>143.91</v>
      </c>
      <c r="C225" s="2">
        <f>IFERROR(__xludf.DUMMYFUNCTION("""COMPUTED_VALUE"""),144.05)</f>
        <v>144.05</v>
      </c>
      <c r="D225" s="2">
        <f>IFERROR(__xludf.DUMMYFUNCTION("""COMPUTED_VALUE"""),141.5)</f>
        <v>141.5</v>
      </c>
      <c r="E225" s="2">
        <f>IFERROR(__xludf.DUMMYFUNCTION("""COMPUTED_VALUE"""),143.9)</f>
        <v>143.9</v>
      </c>
      <c r="F225" s="2">
        <f>IFERROR(__xludf.DUMMYFUNCTION("""COMPUTED_VALUE"""),7.1225992E7)</f>
        <v>71225992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IFERROR(__xludf.DUMMYFUNCTION("""COMPUTED_VALUE"""),144.57)</f>
        <v>144.57</v>
      </c>
      <c r="C226" s="2">
        <f>IFERROR(__xludf.DUMMYFUNCTION("""COMPUTED_VALUE"""),147.74)</f>
        <v>147.74</v>
      </c>
      <c r="D226" s="2">
        <f>IFERROR(__xludf.DUMMYFUNCTION("""COMPUTED_VALUE"""),144.57)</f>
        <v>144.57</v>
      </c>
      <c r="E226" s="2">
        <f>IFERROR(__xludf.DUMMYFUNCTION("""COMPUTED_VALUE"""),146.71)</f>
        <v>146.71</v>
      </c>
      <c r="F226" s="2">
        <f>IFERROR(__xludf.DUMMYFUNCTION("""COMPUTED_VALUE"""),4.5700002E7)</f>
        <v>45700002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IFERROR(__xludf.DUMMYFUNCTION("""COMPUTED_VALUE"""),146.7)</f>
        <v>146.7</v>
      </c>
      <c r="C227" s="2">
        <f>IFERROR(__xludf.DUMMYFUNCTION("""COMPUTED_VALUE"""),147.2)</f>
        <v>147.2</v>
      </c>
      <c r="D227" s="2">
        <f>IFERROR(__xludf.DUMMYFUNCTION("""COMPUTED_VALUE"""),145.32)</f>
        <v>145.32</v>
      </c>
      <c r="E227" s="2">
        <f>IFERROR(__xludf.DUMMYFUNCTION("""COMPUTED_VALUE"""),146.74)</f>
        <v>146.74</v>
      </c>
      <c r="F227" s="2">
        <f>IFERROR(__xludf.DUMMYFUNCTION("""COMPUTED_VALUE"""),2.2378379E7)</f>
        <v>22378379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IFERROR(__xludf.DUMMYFUNCTION("""COMPUTED_VALUE"""),147.53)</f>
        <v>147.53</v>
      </c>
      <c r="C228" s="2">
        <f>IFERROR(__xludf.DUMMYFUNCTION("""COMPUTED_VALUE"""),149.26)</f>
        <v>149.26</v>
      </c>
      <c r="D228" s="2">
        <f>IFERROR(__xludf.DUMMYFUNCTION("""COMPUTED_VALUE"""),146.88)</f>
        <v>146.88</v>
      </c>
      <c r="E228" s="2">
        <f>IFERROR(__xludf.DUMMYFUNCTION("""COMPUTED_VALUE"""),147.73)</f>
        <v>147.73</v>
      </c>
      <c r="F228" s="2">
        <f>IFERROR(__xludf.DUMMYFUNCTION("""COMPUTED_VALUE"""),5.3762428E7)</f>
        <v>53762428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IFERROR(__xludf.DUMMYFUNCTION("""COMPUTED_VALUE"""),146.98)</f>
        <v>146.98</v>
      </c>
      <c r="C229" s="2">
        <f>IFERROR(__xludf.DUMMYFUNCTION("""COMPUTED_VALUE"""),147.6)</f>
        <v>147.6</v>
      </c>
      <c r="D229" s="2">
        <f>IFERROR(__xludf.DUMMYFUNCTION("""COMPUTED_VALUE"""),145.53)</f>
        <v>145.53</v>
      </c>
      <c r="E229" s="2">
        <f>IFERROR(__xludf.DUMMYFUNCTION("""COMPUTED_VALUE"""),147.03)</f>
        <v>147.03</v>
      </c>
      <c r="F229" s="2">
        <f>IFERROR(__xludf.DUMMYFUNCTION("""COMPUTED_VALUE"""),4.2711682E7)</f>
        <v>42711682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IFERROR(__xludf.DUMMYFUNCTION("""COMPUTED_VALUE"""),147.85)</f>
        <v>147.85</v>
      </c>
      <c r="C230" s="2">
        <f>IFERROR(__xludf.DUMMYFUNCTION("""COMPUTED_VALUE"""),148.54)</f>
        <v>148.54</v>
      </c>
      <c r="D230" s="2">
        <f>IFERROR(__xludf.DUMMYFUNCTION("""COMPUTED_VALUE"""),145.97)</f>
        <v>145.97</v>
      </c>
      <c r="E230" s="2">
        <f>IFERROR(__xludf.DUMMYFUNCTION("""COMPUTED_VALUE"""),146.32)</f>
        <v>146.32</v>
      </c>
      <c r="F230" s="2">
        <f>IFERROR(__xludf.DUMMYFUNCTION("""COMPUTED_VALUE"""),4.0610907E7)</f>
        <v>40610907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IFERROR(__xludf.DUMMYFUNCTION("""COMPUTED_VALUE"""),144.76)</f>
        <v>144.76</v>
      </c>
      <c r="C231" s="2">
        <f>IFERROR(__xludf.DUMMYFUNCTION("""COMPUTED_VALUE"""),146.93)</f>
        <v>146.93</v>
      </c>
      <c r="D231" s="2">
        <f>IFERROR(__xludf.DUMMYFUNCTION("""COMPUTED_VALUE"""),144.33)</f>
        <v>144.33</v>
      </c>
      <c r="E231" s="2">
        <f>IFERROR(__xludf.DUMMYFUNCTION("""COMPUTED_VALUE"""),146.09)</f>
        <v>146.09</v>
      </c>
      <c r="F231" s="2">
        <f>IFERROR(__xludf.DUMMYFUNCTION("""COMPUTED_VALUE"""),6.5814022E7)</f>
        <v>65814022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IFERROR(__xludf.DUMMYFUNCTION("""COMPUTED_VALUE"""),146.0)</f>
        <v>146</v>
      </c>
      <c r="C232" s="2">
        <f>IFERROR(__xludf.DUMMYFUNCTION("""COMPUTED_VALUE"""),147.25)</f>
        <v>147.25</v>
      </c>
      <c r="D232" s="2">
        <f>IFERROR(__xludf.DUMMYFUNCTION("""COMPUTED_VALUE"""),145.55)</f>
        <v>145.55</v>
      </c>
      <c r="E232" s="2">
        <f>IFERROR(__xludf.DUMMYFUNCTION("""COMPUTED_VALUE"""),147.03)</f>
        <v>147.03</v>
      </c>
      <c r="F232" s="2">
        <f>IFERROR(__xludf.DUMMYFUNCTION("""COMPUTED_VALUE"""),3.9951833E7)</f>
        <v>39951833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IFERROR(__xludf.DUMMYFUNCTION("""COMPUTED_VALUE"""),145.25)</f>
        <v>145.25</v>
      </c>
      <c r="C233" s="2">
        <f>IFERROR(__xludf.DUMMYFUNCTION("""COMPUTED_VALUE"""),145.35)</f>
        <v>145.35</v>
      </c>
      <c r="D233" s="2">
        <f>IFERROR(__xludf.DUMMYFUNCTION("""COMPUTED_VALUE"""),142.81)</f>
        <v>142.81</v>
      </c>
      <c r="E233" s="2">
        <f>IFERROR(__xludf.DUMMYFUNCTION("""COMPUTED_VALUE"""),144.84)</f>
        <v>144.84</v>
      </c>
      <c r="F233" s="2">
        <f>IFERROR(__xludf.DUMMYFUNCTION("""COMPUTED_VALUE"""),4.8294244E7)</f>
        <v>48294244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IFERROR(__xludf.DUMMYFUNCTION("""COMPUTED_VALUE"""),143.55)</f>
        <v>143.55</v>
      </c>
      <c r="C234" s="2">
        <f>IFERROR(__xludf.DUMMYFUNCTION("""COMPUTED_VALUE"""),148.57)</f>
        <v>148.57</v>
      </c>
      <c r="D234" s="2">
        <f>IFERROR(__xludf.DUMMYFUNCTION("""COMPUTED_VALUE"""),143.13)</f>
        <v>143.13</v>
      </c>
      <c r="E234" s="2">
        <f>IFERROR(__xludf.DUMMYFUNCTION("""COMPUTED_VALUE"""),146.88)</f>
        <v>146.88</v>
      </c>
      <c r="F234" s="2">
        <f>IFERROR(__xludf.DUMMYFUNCTION("""COMPUTED_VALUE"""),4.6822411E7)</f>
        <v>46822411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IFERROR(__xludf.DUMMYFUNCTION("""COMPUTED_VALUE"""),147.58)</f>
        <v>147.58</v>
      </c>
      <c r="C235" s="2">
        <f>IFERROR(__xludf.DUMMYFUNCTION("""COMPUTED_VALUE"""),147.85)</f>
        <v>147.85</v>
      </c>
      <c r="D235" s="2">
        <f>IFERROR(__xludf.DUMMYFUNCTION("""COMPUTED_VALUE"""),144.28)</f>
        <v>144.28</v>
      </c>
      <c r="E235" s="2">
        <f>IFERROR(__xludf.DUMMYFUNCTION("""COMPUTED_VALUE"""),144.52)</f>
        <v>144.52</v>
      </c>
      <c r="F235" s="2">
        <f>IFERROR(__xludf.DUMMYFUNCTION("""COMPUTED_VALUE"""),3.967896E7)</f>
        <v>39678960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IFERROR(__xludf.DUMMYFUNCTION("""COMPUTED_VALUE"""),146.15)</f>
        <v>146.15</v>
      </c>
      <c r="C236" s="2">
        <f>IFERROR(__xludf.DUMMYFUNCTION("""COMPUTED_VALUE"""),147.92)</f>
        <v>147.92</v>
      </c>
      <c r="D236" s="2">
        <f>IFERROR(__xludf.DUMMYFUNCTION("""COMPUTED_VALUE"""),145.34)</f>
        <v>145.34</v>
      </c>
      <c r="E236" s="2">
        <f>IFERROR(__xludf.DUMMYFUNCTION("""COMPUTED_VALUE"""),146.88)</f>
        <v>146.88</v>
      </c>
      <c r="F236" s="2">
        <f>IFERROR(__xludf.DUMMYFUNCTION("""COMPUTED_VALUE"""),5.235283E7)</f>
        <v>52352830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IFERROR(__xludf.DUMMYFUNCTION("""COMPUTED_VALUE"""),145.48)</f>
        <v>145.48</v>
      </c>
      <c r="C237" s="2">
        <f>IFERROR(__xludf.DUMMYFUNCTION("""COMPUTED_VALUE"""),147.84)</f>
        <v>147.84</v>
      </c>
      <c r="D237" s="2">
        <f>IFERROR(__xludf.DUMMYFUNCTION("""COMPUTED_VALUE"""),145.4)</f>
        <v>145.4</v>
      </c>
      <c r="E237" s="2">
        <f>IFERROR(__xludf.DUMMYFUNCTION("""COMPUTED_VALUE"""),147.42)</f>
        <v>147.42</v>
      </c>
      <c r="F237" s="2">
        <f>IFERROR(__xludf.DUMMYFUNCTION("""COMPUTED_VALUE"""),4.1905965E7)</f>
        <v>41905965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IFERROR(__xludf.DUMMYFUNCTION("""COMPUTED_VALUE"""),145.66)</f>
        <v>145.66</v>
      </c>
      <c r="C238" s="2">
        <f>IFERROR(__xludf.DUMMYFUNCTION("""COMPUTED_VALUE"""),146.19)</f>
        <v>146.19</v>
      </c>
      <c r="D238" s="2">
        <f>IFERROR(__xludf.DUMMYFUNCTION("""COMPUTED_VALUE"""),143.64)</f>
        <v>143.64</v>
      </c>
      <c r="E238" s="2">
        <f>IFERROR(__xludf.DUMMYFUNCTION("""COMPUTED_VALUE"""),145.89)</f>
        <v>145.89</v>
      </c>
      <c r="F238" s="2">
        <f>IFERROR(__xludf.DUMMYFUNCTION("""COMPUTED_VALUE"""),5.0907288E7)</f>
        <v>50907288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IFERROR(__xludf.DUMMYFUNCTION("""COMPUTED_VALUE"""),145.52)</f>
        <v>145.52</v>
      </c>
      <c r="C239" s="2">
        <f>IFERROR(__xludf.DUMMYFUNCTION("""COMPUTED_VALUE"""),147.5)</f>
        <v>147.5</v>
      </c>
      <c r="D239" s="2">
        <f>IFERROR(__xludf.DUMMYFUNCTION("""COMPUTED_VALUE"""),145.3)</f>
        <v>145.3</v>
      </c>
      <c r="E239" s="2">
        <f>IFERROR(__xludf.DUMMYFUNCTION("""COMPUTED_VALUE"""),147.48)</f>
        <v>147.48</v>
      </c>
      <c r="F239" s="2">
        <f>IFERROR(__xludf.DUMMYFUNCTION("""COMPUTED_VALUE"""),4.4944264E7)</f>
        <v>44944264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IFERROR(__xludf.DUMMYFUNCTION("""COMPUTED_VALUE"""),148.12)</f>
        <v>148.12</v>
      </c>
      <c r="C240" s="2">
        <f>IFERROR(__xludf.DUMMYFUNCTION("""COMPUTED_VALUE"""),149.46)</f>
        <v>149.46</v>
      </c>
      <c r="D240" s="2">
        <f>IFERROR(__xludf.DUMMYFUNCTION("""COMPUTED_VALUE"""),146.82)</f>
        <v>146.82</v>
      </c>
      <c r="E240" s="2">
        <f>IFERROR(__xludf.DUMMYFUNCTION("""COMPUTED_VALUE"""),148.84)</f>
        <v>148.84</v>
      </c>
      <c r="F240" s="2">
        <f>IFERROR(__xludf.DUMMYFUNCTION("""COMPUTED_VALUE"""),5.2766196E7)</f>
        <v>52766196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IFERROR(__xludf.DUMMYFUNCTION("""COMPUTED_VALUE"""),149.93)</f>
        <v>149.93</v>
      </c>
      <c r="C241" s="2">
        <f>IFERROR(__xludf.DUMMYFUNCTION("""COMPUTED_VALUE"""),150.54)</f>
        <v>150.54</v>
      </c>
      <c r="D241" s="2">
        <f>IFERROR(__xludf.DUMMYFUNCTION("""COMPUTED_VALUE"""),145.52)</f>
        <v>145.52</v>
      </c>
      <c r="E241" s="2">
        <f>IFERROR(__xludf.DUMMYFUNCTION("""COMPUTED_VALUE"""),147.42)</f>
        <v>147.42</v>
      </c>
      <c r="F241" s="2">
        <f>IFERROR(__xludf.DUMMYFUNCTION("""COMPUTED_VALUE"""),5.8400848E7)</f>
        <v>58400848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IFERROR(__xludf.DUMMYFUNCTION("""COMPUTED_VALUE"""),148.38)</f>
        <v>148.38</v>
      </c>
      <c r="C242" s="2">
        <f>IFERROR(__xludf.DUMMYFUNCTION("""COMPUTED_VALUE"""),150.57)</f>
        <v>150.57</v>
      </c>
      <c r="D242" s="2">
        <f>IFERROR(__xludf.DUMMYFUNCTION("""COMPUTED_VALUE"""),147.88)</f>
        <v>147.88</v>
      </c>
      <c r="E242" s="2">
        <f>IFERROR(__xludf.DUMMYFUNCTION("""COMPUTED_VALUE"""),149.97)</f>
        <v>149.97</v>
      </c>
      <c r="F242" s="2">
        <f>IFERROR(__xludf.DUMMYFUNCTION("""COMPUTED_VALUE"""),1.10089342E8)</f>
        <v>110089342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IFERROR(__xludf.DUMMYFUNCTION("""COMPUTED_VALUE"""),150.56)</f>
        <v>150.56</v>
      </c>
      <c r="C243" s="2">
        <f>IFERROR(__xludf.DUMMYFUNCTION("""COMPUTED_VALUE"""),154.85)</f>
        <v>154.85</v>
      </c>
      <c r="D243" s="2">
        <f>IFERROR(__xludf.DUMMYFUNCTION("""COMPUTED_VALUE"""),150.05)</f>
        <v>150.05</v>
      </c>
      <c r="E243" s="2">
        <f>IFERROR(__xludf.DUMMYFUNCTION("""COMPUTED_VALUE"""),154.07)</f>
        <v>154.07</v>
      </c>
      <c r="F243" s="2">
        <f>IFERROR(__xludf.DUMMYFUNCTION("""COMPUTED_VALUE"""),6.2512828E7)</f>
        <v>62512828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IFERROR(__xludf.DUMMYFUNCTION("""COMPUTED_VALUE"""),154.4)</f>
        <v>154.4</v>
      </c>
      <c r="C244" s="2">
        <f>IFERROR(__xludf.DUMMYFUNCTION("""COMPUTED_VALUE"""),155.12)</f>
        <v>155.12</v>
      </c>
      <c r="D244" s="2">
        <f>IFERROR(__xludf.DUMMYFUNCTION("""COMPUTED_VALUE"""),152.69)</f>
        <v>152.69</v>
      </c>
      <c r="E244" s="2">
        <f>IFERROR(__xludf.DUMMYFUNCTION("""COMPUTED_VALUE"""),153.79)</f>
        <v>153.79</v>
      </c>
      <c r="F244" s="2">
        <f>IFERROR(__xludf.DUMMYFUNCTION("""COMPUTED_VALUE"""),4.3171292E7)</f>
        <v>43171292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IFERROR(__xludf.DUMMYFUNCTION("""COMPUTED_VALUE"""),152.9)</f>
        <v>152.9</v>
      </c>
      <c r="C245" s="2">
        <f>IFERROR(__xludf.DUMMYFUNCTION("""COMPUTED_VALUE"""),155.63)</f>
        <v>155.63</v>
      </c>
      <c r="D245" s="2">
        <f>IFERROR(__xludf.DUMMYFUNCTION("""COMPUTED_VALUE"""),151.56)</f>
        <v>151.56</v>
      </c>
      <c r="E245" s="2">
        <f>IFERROR(__xludf.DUMMYFUNCTION("""COMPUTED_VALUE"""),152.12)</f>
        <v>152.12</v>
      </c>
      <c r="F245" s="2">
        <f>IFERROR(__xludf.DUMMYFUNCTION("""COMPUTED_VALUE"""),5.0322106E7)</f>
        <v>50322106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IFERROR(__xludf.DUMMYFUNCTION("""COMPUTED_VALUE"""),153.3)</f>
        <v>153.3</v>
      </c>
      <c r="C246" s="2">
        <f>IFERROR(__xludf.DUMMYFUNCTION("""COMPUTED_VALUE"""),153.97)</f>
        <v>153.97</v>
      </c>
      <c r="D246" s="2">
        <f>IFERROR(__xludf.DUMMYFUNCTION("""COMPUTED_VALUE"""),152.1)</f>
        <v>152.1</v>
      </c>
      <c r="E246" s="2">
        <f>IFERROR(__xludf.DUMMYFUNCTION("""COMPUTED_VALUE"""),153.84)</f>
        <v>153.84</v>
      </c>
      <c r="F246" s="2">
        <f>IFERROR(__xludf.DUMMYFUNCTION("""COMPUTED_VALUE"""),3.6305733E7)</f>
        <v>36305733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IFERROR(__xludf.DUMMYFUNCTION("""COMPUTED_VALUE"""),153.77)</f>
        <v>153.77</v>
      </c>
      <c r="C247" s="2">
        <f>IFERROR(__xludf.DUMMYFUNCTION("""COMPUTED_VALUE"""),154.35)</f>
        <v>154.35</v>
      </c>
      <c r="D247" s="2">
        <f>IFERROR(__xludf.DUMMYFUNCTION("""COMPUTED_VALUE"""),152.71)</f>
        <v>152.71</v>
      </c>
      <c r="E247" s="2">
        <f>IFERROR(__xludf.DUMMYFUNCTION("""COMPUTED_VALUE"""),153.42)</f>
        <v>153.42</v>
      </c>
      <c r="F247" s="2">
        <f>IFERROR(__xludf.DUMMYFUNCTION("""COMPUTED_VALUE"""),2.9514093E7)</f>
        <v>29514093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IFERROR(__xludf.DUMMYFUNCTION("""COMPUTED_VALUE"""),153.56)</f>
        <v>153.56</v>
      </c>
      <c r="C248" s="2">
        <f>IFERROR(__xludf.DUMMYFUNCTION("""COMPUTED_VALUE"""),153.98)</f>
        <v>153.98</v>
      </c>
      <c r="D248" s="2">
        <f>IFERROR(__xludf.DUMMYFUNCTION("""COMPUTED_VALUE"""),153.03)</f>
        <v>153.03</v>
      </c>
      <c r="E248" s="2">
        <f>IFERROR(__xludf.DUMMYFUNCTION("""COMPUTED_VALUE"""),153.41)</f>
        <v>153.41</v>
      </c>
      <c r="F248" s="2">
        <f>IFERROR(__xludf.DUMMYFUNCTION("""COMPUTED_VALUE"""),2.5067222E7)</f>
        <v>25067222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IFERROR(__xludf.DUMMYFUNCTION("""COMPUTED_VALUE"""),153.56)</f>
        <v>153.56</v>
      </c>
      <c r="C249" s="2">
        <f>IFERROR(__xludf.DUMMYFUNCTION("""COMPUTED_VALUE"""),154.78)</f>
        <v>154.78</v>
      </c>
      <c r="D249" s="2">
        <f>IFERROR(__xludf.DUMMYFUNCTION("""COMPUTED_VALUE"""),153.12)</f>
        <v>153.12</v>
      </c>
      <c r="E249" s="2">
        <f>IFERROR(__xludf.DUMMYFUNCTION("""COMPUTED_VALUE"""),153.34)</f>
        <v>153.34</v>
      </c>
      <c r="F249" s="2">
        <f>IFERROR(__xludf.DUMMYFUNCTION("""COMPUTED_VALUE"""),3.1434733E7)</f>
        <v>31434733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IFERROR(__xludf.DUMMYFUNCTION("""COMPUTED_VALUE"""),153.72)</f>
        <v>153.72</v>
      </c>
      <c r="C250" s="2">
        <f>IFERROR(__xludf.DUMMYFUNCTION("""COMPUTED_VALUE"""),154.08)</f>
        <v>154.08</v>
      </c>
      <c r="D250" s="2">
        <f>IFERROR(__xludf.DUMMYFUNCTION("""COMPUTED_VALUE"""),152.95)</f>
        <v>152.95</v>
      </c>
      <c r="E250" s="2">
        <f>IFERROR(__xludf.DUMMYFUNCTION("""COMPUTED_VALUE"""),153.38)</f>
        <v>153.38</v>
      </c>
      <c r="F250" s="2">
        <f>IFERROR(__xludf.DUMMYFUNCTION("""COMPUTED_VALUE"""),2.7057002E7)</f>
        <v>27057002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IFERROR(__xludf.DUMMYFUNCTION("""COMPUTED_VALUE"""),153.1)</f>
        <v>153.1</v>
      </c>
      <c r="C251" s="2">
        <f>IFERROR(__xludf.DUMMYFUNCTION("""COMPUTED_VALUE"""),153.89)</f>
        <v>153.89</v>
      </c>
      <c r="D251" s="2">
        <f>IFERROR(__xludf.DUMMYFUNCTION("""COMPUTED_VALUE"""),151.03)</f>
        <v>151.03</v>
      </c>
      <c r="E251" s="2">
        <f>IFERROR(__xludf.DUMMYFUNCTION("""COMPUTED_VALUE"""),151.94)</f>
        <v>151.94</v>
      </c>
      <c r="F251" s="2">
        <f>IFERROR(__xludf.DUMMYFUNCTION("""COMPUTED_VALUE"""),3.9823204E7)</f>
        <v>39823204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IFERROR(__xludf.DUMMYFUNCTION("""COMPUTED_VALUE"""),151.54)</f>
        <v>151.54</v>
      </c>
      <c r="C252" s="2">
        <f>IFERROR(__xludf.DUMMYFUNCTION("""COMPUTED_VALUE"""),152.38)</f>
        <v>152.38</v>
      </c>
      <c r="D252" s="2">
        <f>IFERROR(__xludf.DUMMYFUNCTION("""COMPUTED_VALUE"""),148.39)</f>
        <v>148.39</v>
      </c>
      <c r="E252" s="2">
        <f>IFERROR(__xludf.DUMMYFUNCTION("""COMPUTED_VALUE"""),149.93)</f>
        <v>149.93</v>
      </c>
      <c r="F252" s="2">
        <f>IFERROR(__xludf.DUMMYFUNCTION("""COMPUTED_VALUE"""),4.7339424E7)</f>
        <v>47339424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IFERROR(__xludf.DUMMYFUNCTION("""COMPUTED_VALUE"""),149.2)</f>
        <v>149.2</v>
      </c>
      <c r="C253" s="2">
        <f>IFERROR(__xludf.DUMMYFUNCTION("""COMPUTED_VALUE"""),151.05)</f>
        <v>151.05</v>
      </c>
      <c r="D253" s="2">
        <f>IFERROR(__xludf.DUMMYFUNCTION("""COMPUTED_VALUE"""),148.33)</f>
        <v>148.33</v>
      </c>
      <c r="E253" s="2">
        <f>IFERROR(__xludf.DUMMYFUNCTION("""COMPUTED_VALUE"""),148.47)</f>
        <v>148.47</v>
      </c>
      <c r="F253" s="2">
        <f>IFERROR(__xludf.DUMMYFUNCTION("""COMPUTED_VALUE"""),4.9425495E7)</f>
        <v>49425495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IFERROR(__xludf.DUMMYFUNCTION("""COMPUTED_VALUE"""),145.59)</f>
        <v>145.59</v>
      </c>
      <c r="C254" s="2">
        <f>IFERROR(__xludf.DUMMYFUNCTION("""COMPUTED_VALUE"""),147.38)</f>
        <v>147.38</v>
      </c>
      <c r="D254" s="2">
        <f>IFERROR(__xludf.DUMMYFUNCTION("""COMPUTED_VALUE"""),144.05)</f>
        <v>144.05</v>
      </c>
      <c r="E254" s="2">
        <f>IFERROR(__xludf.DUMMYFUNCTION("""COMPUTED_VALUE"""),144.57)</f>
        <v>144.57</v>
      </c>
      <c r="F254" s="2">
        <f>IFERROR(__xludf.DUMMYFUNCTION("""COMPUTED_VALUE"""),5.6039807E7)</f>
        <v>56039807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IFERROR(__xludf.DUMMYFUNCTION("""COMPUTED_VALUE"""),144.69)</f>
        <v>144.69</v>
      </c>
      <c r="C255" s="2">
        <f>IFERROR(__xludf.DUMMYFUNCTION("""COMPUTED_VALUE"""),146.59)</f>
        <v>146.59</v>
      </c>
      <c r="D255" s="2">
        <f>IFERROR(__xludf.DUMMYFUNCTION("""COMPUTED_VALUE"""),144.53)</f>
        <v>144.53</v>
      </c>
      <c r="E255" s="2">
        <f>IFERROR(__xludf.DUMMYFUNCTION("""COMPUTED_VALUE"""),145.24)</f>
        <v>145.24</v>
      </c>
      <c r="F255" s="2">
        <f>IFERROR(__xludf.DUMMYFUNCTION("""COMPUTED_VALUE"""),4.5153147E7)</f>
        <v>45153147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IFERROR(__xludf.DUMMYFUNCTION("""COMPUTED_VALUE"""),146.74)</f>
        <v>146.74</v>
      </c>
      <c r="C256" s="2">
        <f>IFERROR(__xludf.DUMMYFUNCTION("""COMPUTED_VALUE"""),149.4)</f>
        <v>149.4</v>
      </c>
      <c r="D256" s="2">
        <f>IFERROR(__xludf.DUMMYFUNCTION("""COMPUTED_VALUE"""),146.15)</f>
        <v>146.15</v>
      </c>
      <c r="E256" s="2">
        <f>IFERROR(__xludf.DUMMYFUNCTION("""COMPUTED_VALUE"""),149.1)</f>
        <v>149.1</v>
      </c>
      <c r="F256" s="2">
        <f>IFERROR(__xludf.DUMMYFUNCTION("""COMPUTED_VALUE"""),4.6757053E7)</f>
        <v>46757053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IFERROR(__xludf.DUMMYFUNCTION("""COMPUTED_VALUE"""),148.33)</f>
        <v>148.33</v>
      </c>
      <c r="C257" s="2">
        <f>IFERROR(__xludf.DUMMYFUNCTION("""COMPUTED_VALUE"""),151.71)</f>
        <v>151.71</v>
      </c>
      <c r="D257" s="2">
        <f>IFERROR(__xludf.DUMMYFUNCTION("""COMPUTED_VALUE"""),148.21)</f>
        <v>148.21</v>
      </c>
      <c r="E257" s="2">
        <f>IFERROR(__xludf.DUMMYFUNCTION("""COMPUTED_VALUE"""),151.37)</f>
        <v>151.37</v>
      </c>
      <c r="F257" s="2">
        <f>IFERROR(__xludf.DUMMYFUNCTION("""COMPUTED_VALUE"""),4.3812567E7)</f>
        <v>43812567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IFERROR(__xludf.DUMMYFUNCTION("""COMPUTED_VALUE"""),152.06)</f>
        <v>152.06</v>
      </c>
      <c r="C258" s="2">
        <f>IFERROR(__xludf.DUMMYFUNCTION("""COMPUTED_VALUE"""),154.42)</f>
        <v>154.42</v>
      </c>
      <c r="D258" s="2">
        <f>IFERROR(__xludf.DUMMYFUNCTION("""COMPUTED_VALUE"""),151.88)</f>
        <v>151.88</v>
      </c>
      <c r="E258" s="2">
        <f>IFERROR(__xludf.DUMMYFUNCTION("""COMPUTED_VALUE"""),153.73)</f>
        <v>153.73</v>
      </c>
      <c r="F258" s="2">
        <f>IFERROR(__xludf.DUMMYFUNCTION("""COMPUTED_VALUE"""),4.442183E7)</f>
        <v>44421830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IFERROR(__xludf.DUMMYFUNCTION("""COMPUTED_VALUE"""),155.04)</f>
        <v>155.04</v>
      </c>
      <c r="C259" s="2">
        <f>IFERROR(__xludf.DUMMYFUNCTION("""COMPUTED_VALUE"""),157.17)</f>
        <v>157.17</v>
      </c>
      <c r="D259" s="2">
        <f>IFERROR(__xludf.DUMMYFUNCTION("""COMPUTED_VALUE"""),153.12)</f>
        <v>153.12</v>
      </c>
      <c r="E259" s="2">
        <f>IFERROR(__xludf.DUMMYFUNCTION("""COMPUTED_VALUE"""),155.18)</f>
        <v>155.18</v>
      </c>
      <c r="F259" s="2">
        <f>IFERROR(__xludf.DUMMYFUNCTION("""COMPUTED_VALUE"""),4.9072691E7)</f>
        <v>49072691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IFERROR(__xludf.DUMMYFUNCTION("""COMPUTED_VALUE"""),155.39)</f>
        <v>155.39</v>
      </c>
      <c r="C260" s="2">
        <f>IFERROR(__xludf.DUMMYFUNCTION("""COMPUTED_VALUE"""),156.2)</f>
        <v>156.2</v>
      </c>
      <c r="D260" s="2">
        <f>IFERROR(__xludf.DUMMYFUNCTION("""COMPUTED_VALUE"""),154.01)</f>
        <v>154.01</v>
      </c>
      <c r="E260" s="2">
        <f>IFERROR(__xludf.DUMMYFUNCTION("""COMPUTED_VALUE"""),154.62)</f>
        <v>154.62</v>
      </c>
      <c r="F260" s="2">
        <f>IFERROR(__xludf.DUMMYFUNCTION("""COMPUTED_VALUE"""),4.0484155E7)</f>
        <v>40484155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IFERROR(__xludf.DUMMYFUNCTION("""COMPUTED_VALUE"""),153.53)</f>
        <v>153.53</v>
      </c>
      <c r="C261" s="2">
        <f>IFERROR(__xludf.DUMMYFUNCTION("""COMPUTED_VALUE"""),154.99)</f>
        <v>154.99</v>
      </c>
      <c r="D261" s="2">
        <f>IFERROR(__xludf.DUMMYFUNCTION("""COMPUTED_VALUE"""),152.15)</f>
        <v>152.15</v>
      </c>
      <c r="E261" s="2">
        <f>IFERROR(__xludf.DUMMYFUNCTION("""COMPUTED_VALUE"""),153.16)</f>
        <v>153.16</v>
      </c>
      <c r="F261" s="2">
        <f>IFERROR(__xludf.DUMMYFUNCTION("""COMPUTED_VALUE"""),4.1384636E7)</f>
        <v>41384636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IFERROR(__xludf.DUMMYFUNCTION("""COMPUTED_VALUE"""),151.49)</f>
        <v>151.49</v>
      </c>
      <c r="C262" s="2">
        <f>IFERROR(__xludf.DUMMYFUNCTION("""COMPUTED_VALUE"""),152.15)</f>
        <v>152.15</v>
      </c>
      <c r="D262" s="2">
        <f>IFERROR(__xludf.DUMMYFUNCTION("""COMPUTED_VALUE"""),149.91)</f>
        <v>149.91</v>
      </c>
      <c r="E262" s="2">
        <f>IFERROR(__xludf.DUMMYFUNCTION("""COMPUTED_VALUE"""),151.71)</f>
        <v>151.71</v>
      </c>
      <c r="F262" s="2">
        <f>IFERROR(__xludf.DUMMYFUNCTION("""COMPUTED_VALUE"""),3.4953363E7)</f>
        <v>34953363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IFERROR(__xludf.DUMMYFUNCTION("""COMPUTED_VALUE"""),152.77)</f>
        <v>152.77</v>
      </c>
      <c r="C263" s="2">
        <f>IFERROR(__xludf.DUMMYFUNCTION("""COMPUTED_VALUE"""),153.78)</f>
        <v>153.78</v>
      </c>
      <c r="D263" s="2">
        <f>IFERROR(__xludf.DUMMYFUNCTION("""COMPUTED_VALUE"""),151.82)</f>
        <v>151.82</v>
      </c>
      <c r="E263" s="2">
        <f>IFERROR(__xludf.DUMMYFUNCTION("""COMPUTED_VALUE"""),153.5)</f>
        <v>153.5</v>
      </c>
      <c r="F263" s="2">
        <f>IFERROR(__xludf.DUMMYFUNCTION("""COMPUTED_VALUE"""),3.7850245E7)</f>
        <v>37850245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IFERROR(__xludf.DUMMYFUNCTION("""COMPUTED_VALUE"""),153.83)</f>
        <v>153.83</v>
      </c>
      <c r="C264" s="2">
        <f>IFERROR(__xludf.DUMMYFUNCTION("""COMPUTED_VALUE"""),155.76)</f>
        <v>155.76</v>
      </c>
      <c r="D264" s="2">
        <f>IFERROR(__xludf.DUMMYFUNCTION("""COMPUTED_VALUE"""),152.74)</f>
        <v>152.74</v>
      </c>
      <c r="E264" s="2">
        <f>IFERROR(__xludf.DUMMYFUNCTION("""COMPUTED_VALUE"""),155.34)</f>
        <v>155.34</v>
      </c>
      <c r="F264" s="2">
        <f>IFERROR(__xludf.DUMMYFUNCTION("""COMPUTED_VALUE"""),5.1651628E7)</f>
        <v>51651628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IFERROR(__xludf.DUMMYFUNCTION("""COMPUTED_VALUE"""),156.89)</f>
        <v>156.89</v>
      </c>
      <c r="C265" s="2">
        <f>IFERROR(__xludf.DUMMYFUNCTION("""COMPUTED_VALUE"""),157.05)</f>
        <v>157.05</v>
      </c>
      <c r="D265" s="2">
        <f>IFERROR(__xludf.DUMMYFUNCTION("""COMPUTED_VALUE"""),153.9)</f>
        <v>153.9</v>
      </c>
      <c r="E265" s="2">
        <f>IFERROR(__xludf.DUMMYFUNCTION("""COMPUTED_VALUE"""),154.78)</f>
        <v>154.78</v>
      </c>
      <c r="F265" s="2">
        <f>IFERROR(__xludf.DUMMYFUNCTION("""COMPUTED_VALUE"""),4.3687468E7)</f>
        <v>43687468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IFERROR(__xludf.DUMMYFUNCTION("""COMPUTED_VALUE"""),154.85)</f>
        <v>154.85</v>
      </c>
      <c r="C266" s="2">
        <f>IFERROR(__xludf.DUMMYFUNCTION("""COMPUTED_VALUE"""),156.21)</f>
        <v>156.21</v>
      </c>
      <c r="D266" s="2">
        <f>IFERROR(__xludf.DUMMYFUNCTION("""COMPUTED_VALUE"""),153.93)</f>
        <v>153.93</v>
      </c>
      <c r="E266" s="2">
        <f>IFERROR(__xludf.DUMMYFUNCTION("""COMPUTED_VALUE"""),156.02)</f>
        <v>156.02</v>
      </c>
      <c r="F266" s="2">
        <f>IFERROR(__xludf.DUMMYFUNCTION("""COMPUTED_VALUE"""),3.7986039E7)</f>
        <v>37986039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IFERROR(__xludf.DUMMYFUNCTION("""COMPUTED_VALUE"""),157.8)</f>
        <v>157.8</v>
      </c>
      <c r="C267" s="2">
        <f>IFERROR(__xludf.DUMMYFUNCTION("""COMPUTED_VALUE"""),158.51)</f>
        <v>158.51</v>
      </c>
      <c r="D267" s="2">
        <f>IFERROR(__xludf.DUMMYFUNCTION("""COMPUTED_VALUE"""),156.48)</f>
        <v>156.48</v>
      </c>
      <c r="E267" s="2">
        <f>IFERROR(__xludf.DUMMYFUNCTION("""COMPUTED_VALUE"""),156.87)</f>
        <v>156.87</v>
      </c>
      <c r="F267" s="2">
        <f>IFERROR(__xludf.DUMMYFUNCTION("""COMPUTED_VALUE"""),4.8547315E7)</f>
        <v>48547315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IFERROR(__xludf.DUMMYFUNCTION("""COMPUTED_VALUE"""),156.95)</f>
        <v>156.95</v>
      </c>
      <c r="C268" s="2">
        <f>IFERROR(__xludf.DUMMYFUNCTION("""COMPUTED_VALUE"""),158.51)</f>
        <v>158.51</v>
      </c>
      <c r="D268" s="2">
        <f>IFERROR(__xludf.DUMMYFUNCTION("""COMPUTED_VALUE"""),154.55)</f>
        <v>154.55</v>
      </c>
      <c r="E268" s="2">
        <f>IFERROR(__xludf.DUMMYFUNCTION("""COMPUTED_VALUE"""),157.75)</f>
        <v>157.75</v>
      </c>
      <c r="F268" s="2">
        <f>IFERROR(__xludf.DUMMYFUNCTION("""COMPUTED_VALUE"""),4.3638592E7)</f>
        <v>43638592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IFERROR(__xludf.DUMMYFUNCTION("""COMPUTED_VALUE"""),158.42)</f>
        <v>158.42</v>
      </c>
      <c r="C269" s="2">
        <f>IFERROR(__xludf.DUMMYFUNCTION("""COMPUTED_VALUE"""),160.72)</f>
        <v>160.72</v>
      </c>
      <c r="D269" s="2">
        <f>IFERROR(__xludf.DUMMYFUNCTION("""COMPUTED_VALUE"""),157.91)</f>
        <v>157.91</v>
      </c>
      <c r="E269" s="2">
        <f>IFERROR(__xludf.DUMMYFUNCTION("""COMPUTED_VALUE"""),159.12)</f>
        <v>159.12</v>
      </c>
      <c r="F269" s="2">
        <f>IFERROR(__xludf.DUMMYFUNCTION("""COMPUTED_VALUE"""),5.1047353E7)</f>
        <v>51047353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IFERROR(__xludf.DUMMYFUNCTION("""COMPUTED_VALUE"""),159.34)</f>
        <v>159.34</v>
      </c>
      <c r="C270" s="2">
        <f>IFERROR(__xludf.DUMMYFUNCTION("""COMPUTED_VALUE"""),161.29)</f>
        <v>161.29</v>
      </c>
      <c r="D270" s="2">
        <f>IFERROR(__xludf.DUMMYFUNCTION("""COMPUTED_VALUE"""),158.9)</f>
        <v>158.9</v>
      </c>
      <c r="E270" s="2">
        <f>IFERROR(__xludf.DUMMYFUNCTION("""COMPUTED_VALUE"""),161.26)</f>
        <v>161.26</v>
      </c>
      <c r="F270" s="2">
        <f>IFERROR(__xludf.DUMMYFUNCTION("""COMPUTED_VALUE"""),4.5270385E7)</f>
        <v>45270385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IFERROR(__xludf.DUMMYFUNCTION("""COMPUTED_VALUE"""),160.7)</f>
        <v>160.7</v>
      </c>
      <c r="C271" s="2">
        <f>IFERROR(__xludf.DUMMYFUNCTION("""COMPUTED_VALUE"""),161.73)</f>
        <v>161.73</v>
      </c>
      <c r="D271" s="2">
        <f>IFERROR(__xludf.DUMMYFUNCTION("""COMPUTED_VALUE"""),158.49)</f>
        <v>158.49</v>
      </c>
      <c r="E271" s="2">
        <f>IFERROR(__xludf.DUMMYFUNCTION("""COMPUTED_VALUE"""),159.0)</f>
        <v>159</v>
      </c>
      <c r="F271" s="2">
        <f>IFERROR(__xludf.DUMMYFUNCTION("""COMPUTED_VALUE"""),4.520743E7)</f>
        <v>45207430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IFERROR(__xludf.DUMMYFUNCTION("""COMPUTED_VALUE"""),157.0)</f>
        <v>157</v>
      </c>
      <c r="C272" s="2">
        <f>IFERROR(__xludf.DUMMYFUNCTION("""COMPUTED_VALUE"""),159.01)</f>
        <v>159.01</v>
      </c>
      <c r="D272" s="2">
        <f>IFERROR(__xludf.DUMMYFUNCTION("""COMPUTED_VALUE"""),154.81)</f>
        <v>154.81</v>
      </c>
      <c r="E272" s="2">
        <f>IFERROR(__xludf.DUMMYFUNCTION("""COMPUTED_VALUE"""),155.2)</f>
        <v>155.2</v>
      </c>
      <c r="F272" s="2">
        <f>IFERROR(__xludf.DUMMYFUNCTION("""COMPUTED_VALUE"""),5.0284371E7)</f>
        <v>50284371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IFERROR(__xludf.DUMMYFUNCTION("""COMPUTED_VALUE"""),155.87)</f>
        <v>155.87</v>
      </c>
      <c r="C273" s="2">
        <f>IFERROR(__xludf.DUMMYFUNCTION("""COMPUTED_VALUE"""),159.76)</f>
        <v>159.76</v>
      </c>
      <c r="D273" s="2">
        <f>IFERROR(__xludf.DUMMYFUNCTION("""COMPUTED_VALUE"""),155.62)</f>
        <v>155.62</v>
      </c>
      <c r="E273" s="2">
        <f>IFERROR(__xludf.DUMMYFUNCTION("""COMPUTED_VALUE"""),159.28)</f>
        <v>159.28</v>
      </c>
      <c r="F273" s="2">
        <f>IFERROR(__xludf.DUMMYFUNCTION("""COMPUTED_VALUE"""),7.6542419E7)</f>
        <v>76542419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IFERROR(__xludf.DUMMYFUNCTION("""COMPUTED_VALUE"""),169.19)</f>
        <v>169.19</v>
      </c>
      <c r="C274" s="2">
        <f>IFERROR(__xludf.DUMMYFUNCTION("""COMPUTED_VALUE"""),172.5)</f>
        <v>172.5</v>
      </c>
      <c r="D274" s="2">
        <f>IFERROR(__xludf.DUMMYFUNCTION("""COMPUTED_VALUE"""),167.33)</f>
        <v>167.33</v>
      </c>
      <c r="E274" s="2">
        <f>IFERROR(__xludf.DUMMYFUNCTION("""COMPUTED_VALUE"""),171.81)</f>
        <v>171.81</v>
      </c>
      <c r="F274" s="2">
        <f>IFERROR(__xludf.DUMMYFUNCTION("""COMPUTED_VALUE"""),1.17218313E8)</f>
        <v>117218313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IFERROR(__xludf.DUMMYFUNCTION("""COMPUTED_VALUE"""),170.2)</f>
        <v>170.2</v>
      </c>
      <c r="C275" s="2">
        <f>IFERROR(__xludf.DUMMYFUNCTION("""COMPUTED_VALUE"""),170.55)</f>
        <v>170.55</v>
      </c>
      <c r="D275" s="2">
        <f>IFERROR(__xludf.DUMMYFUNCTION("""COMPUTED_VALUE"""),167.7)</f>
        <v>167.7</v>
      </c>
      <c r="E275" s="2">
        <f>IFERROR(__xludf.DUMMYFUNCTION("""COMPUTED_VALUE"""),170.31)</f>
        <v>170.31</v>
      </c>
      <c r="F275" s="2">
        <f>IFERROR(__xludf.DUMMYFUNCTION("""COMPUTED_VALUE"""),5.5081297E7)</f>
        <v>55081297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IFERROR(__xludf.DUMMYFUNCTION("""COMPUTED_VALUE"""),169.39)</f>
        <v>169.39</v>
      </c>
      <c r="C276" s="2">
        <f>IFERROR(__xludf.DUMMYFUNCTION("""COMPUTED_VALUE"""),170.71)</f>
        <v>170.71</v>
      </c>
      <c r="D276" s="2">
        <f>IFERROR(__xludf.DUMMYFUNCTION("""COMPUTED_VALUE"""),167.65)</f>
        <v>167.65</v>
      </c>
      <c r="E276" s="2">
        <f>IFERROR(__xludf.DUMMYFUNCTION("""COMPUTED_VALUE"""),169.15)</f>
        <v>169.15</v>
      </c>
      <c r="F276" s="2">
        <f>IFERROR(__xludf.DUMMYFUNCTION("""COMPUTED_VALUE"""),4.2505518E7)</f>
        <v>42505518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IFERROR(__xludf.DUMMYFUNCTION("""COMPUTED_VALUE"""),169.48)</f>
        <v>169.48</v>
      </c>
      <c r="C277" s="2">
        <f>IFERROR(__xludf.DUMMYFUNCTION("""COMPUTED_VALUE"""),170.88)</f>
        <v>170.88</v>
      </c>
      <c r="D277" s="2">
        <f>IFERROR(__xludf.DUMMYFUNCTION("""COMPUTED_VALUE"""),168.94)</f>
        <v>168.94</v>
      </c>
      <c r="E277" s="2">
        <f>IFERROR(__xludf.DUMMYFUNCTION("""COMPUTED_VALUE"""),170.53)</f>
        <v>170.53</v>
      </c>
      <c r="F277" s="2">
        <f>IFERROR(__xludf.DUMMYFUNCTION("""COMPUTED_VALUE"""),4.717406E7)</f>
        <v>47174060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IFERROR(__xludf.DUMMYFUNCTION("""COMPUTED_VALUE"""),169.65)</f>
        <v>169.65</v>
      </c>
      <c r="C278" s="2">
        <f>IFERROR(__xludf.DUMMYFUNCTION("""COMPUTED_VALUE"""),171.43)</f>
        <v>171.43</v>
      </c>
      <c r="D278" s="2">
        <f>IFERROR(__xludf.DUMMYFUNCTION("""COMPUTED_VALUE"""),168.88)</f>
        <v>168.88</v>
      </c>
      <c r="E278" s="2">
        <f>IFERROR(__xludf.DUMMYFUNCTION("""COMPUTED_VALUE"""),169.84)</f>
        <v>169.84</v>
      </c>
      <c r="F278" s="2">
        <f>IFERROR(__xludf.DUMMYFUNCTION("""COMPUTED_VALUE"""),4.2316454E7)</f>
        <v>42316454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IFERROR(__xludf.DUMMYFUNCTION("""COMPUTED_VALUE"""),170.9)</f>
        <v>170.9</v>
      </c>
      <c r="C279" s="2">
        <f>IFERROR(__xludf.DUMMYFUNCTION("""COMPUTED_VALUE"""),175.0)</f>
        <v>175</v>
      </c>
      <c r="D279" s="2">
        <f>IFERROR(__xludf.DUMMYFUNCTION("""COMPUTED_VALUE"""),170.58)</f>
        <v>170.58</v>
      </c>
      <c r="E279" s="2">
        <f>IFERROR(__xludf.DUMMYFUNCTION("""COMPUTED_VALUE"""),174.45)</f>
        <v>174.45</v>
      </c>
      <c r="F279" s="2">
        <f>IFERROR(__xludf.DUMMYFUNCTION("""COMPUTED_VALUE"""),5.6985986E7)</f>
        <v>56985986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IFERROR(__xludf.DUMMYFUNCTION("""COMPUTED_VALUE"""),174.8)</f>
        <v>174.8</v>
      </c>
      <c r="C280" s="2">
        <f>IFERROR(__xludf.DUMMYFUNCTION("""COMPUTED_VALUE"""),175.39)</f>
        <v>175.39</v>
      </c>
      <c r="D280" s="2">
        <f>IFERROR(__xludf.DUMMYFUNCTION("""COMPUTED_VALUE"""),171.54)</f>
        <v>171.54</v>
      </c>
      <c r="E280" s="2">
        <f>IFERROR(__xludf.DUMMYFUNCTION("""COMPUTED_VALUE"""),172.34)</f>
        <v>172.34</v>
      </c>
      <c r="F280" s="2">
        <f>IFERROR(__xludf.DUMMYFUNCTION("""COMPUTED_VALUE"""),5.105044E7)</f>
        <v>51050440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IFERROR(__xludf.DUMMYFUNCTION("""COMPUTED_VALUE"""),167.73)</f>
        <v>167.73</v>
      </c>
      <c r="C281" s="2">
        <f>IFERROR(__xludf.DUMMYFUNCTION("""COMPUTED_VALUE"""),170.95)</f>
        <v>170.95</v>
      </c>
      <c r="D281" s="2">
        <f>IFERROR(__xludf.DUMMYFUNCTION("""COMPUTED_VALUE"""),165.75)</f>
        <v>165.75</v>
      </c>
      <c r="E281" s="2">
        <f>IFERROR(__xludf.DUMMYFUNCTION("""COMPUTED_VALUE"""),168.64)</f>
        <v>168.64</v>
      </c>
      <c r="F281" s="2">
        <f>IFERROR(__xludf.DUMMYFUNCTION("""COMPUTED_VALUE"""),5.6345122E7)</f>
        <v>56345122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IFERROR(__xludf.DUMMYFUNCTION("""COMPUTED_VALUE"""),169.21)</f>
        <v>169.21</v>
      </c>
      <c r="C282" s="2">
        <f>IFERROR(__xludf.DUMMYFUNCTION("""COMPUTED_VALUE"""),171.21)</f>
        <v>171.21</v>
      </c>
      <c r="D282" s="2">
        <f>IFERROR(__xludf.DUMMYFUNCTION("""COMPUTED_VALUE"""),168.28)</f>
        <v>168.28</v>
      </c>
      <c r="E282" s="2">
        <f>IFERROR(__xludf.DUMMYFUNCTION("""COMPUTED_VALUE"""),170.98)</f>
        <v>170.98</v>
      </c>
      <c r="F282" s="2">
        <f>IFERROR(__xludf.DUMMYFUNCTION("""COMPUTED_VALUE"""),4.2815544E7)</f>
        <v>42815544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IFERROR(__xludf.DUMMYFUNCTION("""COMPUTED_VALUE"""),170.58)</f>
        <v>170.58</v>
      </c>
      <c r="C283" s="2">
        <f>IFERROR(__xludf.DUMMYFUNCTION("""COMPUTED_VALUE"""),171.17)</f>
        <v>171.17</v>
      </c>
      <c r="D283" s="2">
        <f>IFERROR(__xludf.DUMMYFUNCTION("""COMPUTED_VALUE"""),167.59)</f>
        <v>167.59</v>
      </c>
      <c r="E283" s="2">
        <f>IFERROR(__xludf.DUMMYFUNCTION("""COMPUTED_VALUE"""),169.8)</f>
        <v>169.8</v>
      </c>
      <c r="F283" s="2">
        <f>IFERROR(__xludf.DUMMYFUNCTION("""COMPUTED_VALUE"""),4.9855196E7)</f>
        <v>49855196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IFERROR(__xludf.DUMMYFUNCTION("""COMPUTED_VALUE"""),168.74)</f>
        <v>168.74</v>
      </c>
      <c r="C284" s="2">
        <f>IFERROR(__xludf.DUMMYFUNCTION("""COMPUTED_VALUE"""),170.42)</f>
        <v>170.42</v>
      </c>
      <c r="D284" s="2">
        <f>IFERROR(__xludf.DUMMYFUNCTION("""COMPUTED_VALUE"""),167.17)</f>
        <v>167.17</v>
      </c>
      <c r="E284" s="2">
        <f>IFERROR(__xludf.DUMMYFUNCTION("""COMPUTED_VALUE"""),169.51)</f>
        <v>169.51</v>
      </c>
      <c r="F284" s="2">
        <f>IFERROR(__xludf.DUMMYFUNCTION("""COMPUTED_VALUE"""),4.8107744E7)</f>
        <v>48107744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IFERROR(__xludf.DUMMYFUNCTION("""COMPUTED_VALUE"""),167.83)</f>
        <v>167.83</v>
      </c>
      <c r="C285" s="2">
        <f>IFERROR(__xludf.DUMMYFUNCTION("""COMPUTED_VALUE"""),168.71)</f>
        <v>168.71</v>
      </c>
      <c r="D285" s="2">
        <f>IFERROR(__xludf.DUMMYFUNCTION("""COMPUTED_VALUE"""),165.74)</f>
        <v>165.74</v>
      </c>
      <c r="E285" s="2">
        <f>IFERROR(__xludf.DUMMYFUNCTION("""COMPUTED_VALUE"""),167.08)</f>
        <v>167.08</v>
      </c>
      <c r="F285" s="2">
        <f>IFERROR(__xludf.DUMMYFUNCTION("""COMPUTED_VALUE"""),4.1980326E7)</f>
        <v>41980326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IFERROR(__xludf.DUMMYFUNCTION("""COMPUTED_VALUE"""),168.94)</f>
        <v>168.94</v>
      </c>
      <c r="C286" s="2">
        <f>IFERROR(__xludf.DUMMYFUNCTION("""COMPUTED_VALUE"""),170.23)</f>
        <v>170.23</v>
      </c>
      <c r="D286" s="2">
        <f>IFERROR(__xludf.DUMMYFUNCTION("""COMPUTED_VALUE"""),167.14)</f>
        <v>167.14</v>
      </c>
      <c r="E286" s="2">
        <f>IFERROR(__xludf.DUMMYFUNCTION("""COMPUTED_VALUE"""),168.59)</f>
        <v>168.59</v>
      </c>
      <c r="F286" s="2">
        <f>IFERROR(__xludf.DUMMYFUNCTION("""COMPUTED_VALUE"""),4.4575623E7)</f>
        <v>44575623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IFERROR(__xludf.DUMMYFUNCTION("""COMPUTED_VALUE"""),173.1)</f>
        <v>173.1</v>
      </c>
      <c r="C287" s="2">
        <f>IFERROR(__xludf.DUMMYFUNCTION("""COMPUTED_VALUE"""),174.8)</f>
        <v>174.8</v>
      </c>
      <c r="D287" s="2">
        <f>IFERROR(__xludf.DUMMYFUNCTION("""COMPUTED_VALUE"""),171.77)</f>
        <v>171.77</v>
      </c>
      <c r="E287" s="2">
        <f>IFERROR(__xludf.DUMMYFUNCTION("""COMPUTED_VALUE"""),174.58)</f>
        <v>174.58</v>
      </c>
      <c r="F287" s="2">
        <f>IFERROR(__xludf.DUMMYFUNCTION("""COMPUTED_VALUE"""),5.5392354E7)</f>
        <v>55392354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IFERROR(__xludf.DUMMYFUNCTION("""COMPUTED_VALUE"""),174.28)</f>
        <v>174.28</v>
      </c>
      <c r="C288" s="2">
        <f>IFERROR(__xludf.DUMMYFUNCTION("""COMPUTED_VALUE"""),175.75)</f>
        <v>175.75</v>
      </c>
      <c r="D288" s="2">
        <f>IFERROR(__xludf.DUMMYFUNCTION("""COMPUTED_VALUE"""),173.7)</f>
        <v>173.7</v>
      </c>
      <c r="E288" s="2">
        <f>IFERROR(__xludf.DUMMYFUNCTION("""COMPUTED_VALUE"""),174.99)</f>
        <v>174.99</v>
      </c>
      <c r="F288" s="2">
        <f>IFERROR(__xludf.DUMMYFUNCTION("""COMPUTED_VALUE"""),5.9715243E7)</f>
        <v>59715243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IFERROR(__xludf.DUMMYFUNCTION("""COMPUTED_VALUE"""),175.7)</f>
        <v>175.7</v>
      </c>
      <c r="C289" s="2">
        <f>IFERROR(__xludf.DUMMYFUNCTION("""COMPUTED_VALUE"""),176.37)</f>
        <v>176.37</v>
      </c>
      <c r="D289" s="2">
        <f>IFERROR(__xludf.DUMMYFUNCTION("""COMPUTED_VALUE"""),174.26)</f>
        <v>174.26</v>
      </c>
      <c r="E289" s="2">
        <f>IFERROR(__xludf.DUMMYFUNCTION("""COMPUTED_VALUE"""),174.73)</f>
        <v>174.73</v>
      </c>
      <c r="F289" s="2">
        <f>IFERROR(__xludf.DUMMYFUNCTION("""COMPUTED_VALUE"""),4.4368614E7)</f>
        <v>44368614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IFERROR(__xludf.DUMMYFUNCTION("""COMPUTED_VALUE"""),174.08)</f>
        <v>174.08</v>
      </c>
      <c r="C290" s="2">
        <f>IFERROR(__xludf.DUMMYFUNCTION("""COMPUTED_VALUE"""),174.62)</f>
        <v>174.62</v>
      </c>
      <c r="D290" s="2">
        <f>IFERROR(__xludf.DUMMYFUNCTION("""COMPUTED_VALUE"""),172.86)</f>
        <v>172.86</v>
      </c>
      <c r="E290" s="2">
        <f>IFERROR(__xludf.DUMMYFUNCTION("""COMPUTED_VALUE"""),173.54)</f>
        <v>173.54</v>
      </c>
      <c r="F290" s="2">
        <f>IFERROR(__xludf.DUMMYFUNCTION("""COMPUTED_VALUE"""),3.1141732E7)</f>
        <v>31141732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IFERROR(__xludf.DUMMYFUNCTION("""COMPUTED_VALUE"""),172.44)</f>
        <v>172.44</v>
      </c>
      <c r="C291" s="2">
        <f>IFERROR(__xludf.DUMMYFUNCTION("""COMPUTED_VALUE"""),174.05)</f>
        <v>174.05</v>
      </c>
      <c r="D291" s="2">
        <f>IFERROR(__xludf.DUMMYFUNCTION("""COMPUTED_VALUE"""),172.27)</f>
        <v>172.27</v>
      </c>
      <c r="E291" s="2">
        <f>IFERROR(__xludf.DUMMYFUNCTION("""COMPUTED_VALUE"""),173.16)</f>
        <v>173.16</v>
      </c>
      <c r="F291" s="2">
        <f>IFERROR(__xludf.DUMMYFUNCTION("""COMPUTED_VALUE"""),2.8180482E7)</f>
        <v>28180482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IFERROR(__xludf.DUMMYFUNCTION("""COMPUTED_VALUE"""),173.01)</f>
        <v>173.01</v>
      </c>
      <c r="C292" s="2">
        <f>IFERROR(__xludf.DUMMYFUNCTION("""COMPUTED_VALUE"""),177.22)</f>
        <v>177.22</v>
      </c>
      <c r="D292" s="2">
        <f>IFERROR(__xludf.DUMMYFUNCTION("""COMPUTED_VALUE"""),172.85)</f>
        <v>172.85</v>
      </c>
      <c r="E292" s="2">
        <f>IFERROR(__xludf.DUMMYFUNCTION("""COMPUTED_VALUE"""),176.76)</f>
        <v>176.76</v>
      </c>
      <c r="F292" s="2">
        <f>IFERROR(__xludf.DUMMYFUNCTION("""COMPUTED_VALUE"""),5.3805359E7)</f>
        <v>53805359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IFERROR(__xludf.DUMMYFUNCTION("""COMPUTED_VALUE"""),176.75)</f>
        <v>176.75</v>
      </c>
      <c r="C293" s="2">
        <f>IFERROR(__xludf.DUMMYFUNCTION("""COMPUTED_VALUE"""),178.73)</f>
        <v>178.73</v>
      </c>
      <c r="D293" s="2">
        <f>IFERROR(__xludf.DUMMYFUNCTION("""COMPUTED_VALUE"""),176.07)</f>
        <v>176.07</v>
      </c>
      <c r="E293" s="2">
        <f>IFERROR(__xludf.DUMMYFUNCTION("""COMPUTED_VALUE"""),178.22)</f>
        <v>178.22</v>
      </c>
      <c r="F293" s="2">
        <f>IFERROR(__xludf.DUMMYFUNCTION("""COMPUTED_VALUE"""),3.1981152E7)</f>
        <v>31981152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IFERROR(__xludf.DUMMYFUNCTION("""COMPUTED_VALUE"""),177.53)</f>
        <v>177.53</v>
      </c>
      <c r="C294" s="2">
        <f>IFERROR(__xludf.DUMMYFUNCTION("""COMPUTED_VALUE"""),180.14)</f>
        <v>180.14</v>
      </c>
      <c r="D294" s="2">
        <f>IFERROR(__xludf.DUMMYFUNCTION("""COMPUTED_VALUE"""),177.49)</f>
        <v>177.49</v>
      </c>
      <c r="E294" s="2">
        <f>IFERROR(__xludf.DUMMYFUNCTION("""COMPUTED_VALUE"""),177.58)</f>
        <v>177.58</v>
      </c>
      <c r="F294" s="2">
        <f>IFERROR(__xludf.DUMMYFUNCTION("""COMPUTED_VALUE"""),3.738152E7)</f>
        <v>37381520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IFERROR(__xludf.DUMMYFUNCTION("""COMPUTED_VALUE"""),176.93)</f>
        <v>176.93</v>
      </c>
      <c r="C295" s="2">
        <f>IFERROR(__xludf.DUMMYFUNCTION("""COMPUTED_VALUE"""),176.93)</f>
        <v>176.93</v>
      </c>
      <c r="D295" s="2">
        <f>IFERROR(__xludf.DUMMYFUNCTION("""COMPUTED_VALUE"""),173.3)</f>
        <v>173.3</v>
      </c>
      <c r="E295" s="2">
        <f>IFERROR(__xludf.DUMMYFUNCTION("""COMPUTED_VALUE"""),174.12)</f>
        <v>174.12</v>
      </c>
      <c r="F295" s="2">
        <f>IFERROR(__xludf.DUMMYFUNCTION("""COMPUTED_VALUE"""),3.7228343E7)</f>
        <v>37228343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IFERROR(__xludf.DUMMYFUNCTION("""COMPUTED_VALUE"""),175.54)</f>
        <v>175.54</v>
      </c>
      <c r="C296" s="2">
        <f>IFERROR(__xludf.DUMMYFUNCTION("""COMPUTED_VALUE"""),176.46)</f>
        <v>176.46</v>
      </c>
      <c r="D296" s="2">
        <f>IFERROR(__xludf.DUMMYFUNCTION("""COMPUTED_VALUE"""),173.26)</f>
        <v>173.26</v>
      </c>
      <c r="E296" s="2">
        <f>IFERROR(__xludf.DUMMYFUNCTION("""COMPUTED_VALUE"""),173.51)</f>
        <v>173.51</v>
      </c>
      <c r="F296" s="2">
        <f>IFERROR(__xludf.DUMMYFUNCTION("""COMPUTED_VALUE"""),3.2090926E7)</f>
        <v>32090926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IFERROR(__xludf.DUMMYFUNCTION("""COMPUTED_VALUE"""),174.83)</f>
        <v>174.83</v>
      </c>
      <c r="C297" s="2">
        <f>IFERROR(__xludf.DUMMYFUNCTION("""COMPUTED_VALUE"""),177.99)</f>
        <v>177.99</v>
      </c>
      <c r="D297" s="2">
        <f>IFERROR(__xludf.DUMMYFUNCTION("""COMPUTED_VALUE"""),173.72)</f>
        <v>173.72</v>
      </c>
      <c r="E297" s="2">
        <f>IFERROR(__xludf.DUMMYFUNCTION("""COMPUTED_VALUE"""),176.82)</f>
        <v>176.82</v>
      </c>
      <c r="F297" s="2">
        <f>IFERROR(__xludf.DUMMYFUNCTION("""COMPUTED_VALUE"""),3.4063283E7)</f>
        <v>34063283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IFERROR(__xludf.DUMMYFUNCTION("""COMPUTED_VALUE"""),176.44)</f>
        <v>176.44</v>
      </c>
      <c r="C298" s="2">
        <f>IFERROR(__xludf.DUMMYFUNCTION("""COMPUTED_VALUE"""),178.79)</f>
        <v>178.79</v>
      </c>
      <c r="D298" s="2">
        <f>IFERROR(__xludf.DUMMYFUNCTION("""COMPUTED_VALUE"""),174.33)</f>
        <v>174.33</v>
      </c>
      <c r="E298" s="2">
        <f>IFERROR(__xludf.DUMMYFUNCTION("""COMPUTED_VALUE"""),175.35)</f>
        <v>175.35</v>
      </c>
      <c r="F298" s="2">
        <f>IFERROR(__xludf.DUMMYFUNCTION("""COMPUTED_VALUE"""),3.7893242E7)</f>
        <v>37893242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IFERROR(__xludf.DUMMYFUNCTION("""COMPUTED_VALUE"""),174.31)</f>
        <v>174.31</v>
      </c>
      <c r="C299" s="2">
        <f>IFERROR(__xludf.DUMMYFUNCTION("""COMPUTED_VALUE"""),174.47)</f>
        <v>174.47</v>
      </c>
      <c r="D299" s="2">
        <f>IFERROR(__xludf.DUMMYFUNCTION("""COMPUTED_VALUE"""),171.47)</f>
        <v>171.47</v>
      </c>
      <c r="E299" s="2">
        <f>IFERROR(__xludf.DUMMYFUNCTION("""COMPUTED_VALUE"""),171.96)</f>
        <v>171.96</v>
      </c>
      <c r="F299" s="2">
        <f>IFERROR(__xludf.DUMMYFUNCTION("""COMPUTED_VALUE"""),2.8484777E7)</f>
        <v>28484777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IFERROR(__xludf.DUMMYFUNCTION("""COMPUTED_VALUE"""),173.5)</f>
        <v>173.5</v>
      </c>
      <c r="C300" s="2">
        <f>IFERROR(__xludf.DUMMYFUNCTION("""COMPUTED_VALUE"""),176.76)</f>
        <v>176.76</v>
      </c>
      <c r="D300" s="2">
        <f>IFERROR(__xludf.DUMMYFUNCTION("""COMPUTED_VALUE"""),171.98)</f>
        <v>171.98</v>
      </c>
      <c r="E300" s="2">
        <f>IFERROR(__xludf.DUMMYFUNCTION("""COMPUTED_VALUE"""),175.39)</f>
        <v>175.39</v>
      </c>
      <c r="F300" s="2">
        <f>IFERROR(__xludf.DUMMYFUNCTION("""COMPUTED_VALUE"""),3.6610604E7)</f>
        <v>36610604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IFERROR(__xludf.DUMMYFUNCTION("""COMPUTED_VALUE"""),175.9)</f>
        <v>175.9</v>
      </c>
      <c r="C301" s="2">
        <f>IFERROR(__xludf.DUMMYFUNCTION("""COMPUTED_VALUE"""),177.62)</f>
        <v>177.62</v>
      </c>
      <c r="D301" s="2">
        <f>IFERROR(__xludf.DUMMYFUNCTION("""COMPUTED_VALUE"""),175.55)</f>
        <v>175.55</v>
      </c>
      <c r="E301" s="2">
        <f>IFERROR(__xludf.DUMMYFUNCTION("""COMPUTED_VALUE"""),176.56)</f>
        <v>176.56</v>
      </c>
      <c r="F301" s="2">
        <f>IFERROR(__xludf.DUMMYFUNCTION("""COMPUTED_VALUE"""),3.07726E7)</f>
        <v>30772600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IFERROR(__xludf.DUMMYFUNCTION("""COMPUTED_VALUE"""),177.69)</f>
        <v>177.69</v>
      </c>
      <c r="C302" s="2">
        <f>IFERROR(__xludf.DUMMYFUNCTION("""COMPUTED_VALUE"""),179.53)</f>
        <v>179.53</v>
      </c>
      <c r="D302" s="2">
        <f>IFERROR(__xludf.DUMMYFUNCTION("""COMPUTED_VALUE"""),176.47)</f>
        <v>176.47</v>
      </c>
      <c r="E302" s="2">
        <f>IFERROR(__xludf.DUMMYFUNCTION("""COMPUTED_VALUE"""),178.75)</f>
        <v>178.75</v>
      </c>
      <c r="F302" s="2">
        <f>IFERROR(__xludf.DUMMYFUNCTION("""COMPUTED_VALUE"""),4.370584E7)</f>
        <v>43705840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IFERROR(__xludf.DUMMYFUNCTION("""COMPUTED_VALUE"""),176.64)</f>
        <v>176.64</v>
      </c>
      <c r="C303" s="2">
        <f>IFERROR(__xludf.DUMMYFUNCTION("""COMPUTED_VALUE"""),177.93)</f>
        <v>177.93</v>
      </c>
      <c r="D303" s="2">
        <f>IFERROR(__xludf.DUMMYFUNCTION("""COMPUTED_VALUE"""),173.9)</f>
        <v>173.9</v>
      </c>
      <c r="E303" s="2">
        <f>IFERROR(__xludf.DUMMYFUNCTION("""COMPUTED_VALUE"""),174.42)</f>
        <v>174.42</v>
      </c>
      <c r="F303" s="2">
        <f>IFERROR(__xludf.DUMMYFUNCTION("""COMPUTED_VALUE"""),7.214739E7)</f>
        <v>72147390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IFERROR(__xludf.DUMMYFUNCTION("""COMPUTED_VALUE"""),175.8)</f>
        <v>175.8</v>
      </c>
      <c r="C304" s="2">
        <f>IFERROR(__xludf.DUMMYFUNCTION("""COMPUTED_VALUE"""),176.69)</f>
        <v>176.69</v>
      </c>
      <c r="D304" s="2">
        <f>IFERROR(__xludf.DUMMYFUNCTION("""COMPUTED_VALUE"""),174.28)</f>
        <v>174.28</v>
      </c>
      <c r="E304" s="2">
        <f>IFERROR(__xludf.DUMMYFUNCTION("""COMPUTED_VALUE"""),174.48)</f>
        <v>174.48</v>
      </c>
      <c r="F304" s="2">
        <f>IFERROR(__xludf.DUMMYFUNCTION("""COMPUTED_VALUE"""),3.1250688E7)</f>
        <v>31250688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IFERROR(__xludf.DUMMYFUNCTION("""COMPUTED_VALUE"""),174.22)</f>
        <v>174.22</v>
      </c>
      <c r="C305" s="2">
        <f>IFERROR(__xludf.DUMMYFUNCTION("""COMPUTED_VALUE"""),176.09)</f>
        <v>176.09</v>
      </c>
      <c r="D305" s="2">
        <f>IFERROR(__xludf.DUMMYFUNCTION("""COMPUTED_VALUE"""),173.52)</f>
        <v>173.52</v>
      </c>
      <c r="E305" s="2">
        <f>IFERROR(__xludf.DUMMYFUNCTION("""COMPUTED_VALUE"""),175.9)</f>
        <v>175.9</v>
      </c>
      <c r="F305" s="2">
        <f>IFERROR(__xludf.DUMMYFUNCTION("""COMPUTED_VALUE"""),2.6880893E7)</f>
        <v>26880893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IFERROR(__xludf.DUMMYFUNCTION("""COMPUTED_VALUE"""),176.14)</f>
        <v>176.14</v>
      </c>
      <c r="C306" s="2">
        <f>IFERROR(__xludf.DUMMYFUNCTION("""COMPUTED_VALUE"""),178.53)</f>
        <v>178.53</v>
      </c>
      <c r="D306" s="2">
        <f>IFERROR(__xludf.DUMMYFUNCTION("""COMPUTED_VALUE"""),174.64)</f>
        <v>174.64</v>
      </c>
      <c r="E306" s="2">
        <f>IFERROR(__xludf.DUMMYFUNCTION("""COMPUTED_VALUE"""),178.15)</f>
        <v>178.15</v>
      </c>
      <c r="F306" s="2">
        <f>IFERROR(__xludf.DUMMYFUNCTION("""COMPUTED_VALUE"""),2.994715E7)</f>
        <v>29947150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IFERROR(__xludf.DUMMYFUNCTION("""COMPUTED_VALUE"""),179.99)</f>
        <v>179.99</v>
      </c>
      <c r="C307" s="2">
        <f>IFERROR(__xludf.DUMMYFUNCTION("""COMPUTED_VALUE"""),181.42)</f>
        <v>181.42</v>
      </c>
      <c r="D307" s="2">
        <f>IFERROR(__xludf.DUMMYFUNCTION("""COMPUTED_VALUE"""),178.15)</f>
        <v>178.15</v>
      </c>
      <c r="E307" s="2">
        <f>IFERROR(__xludf.DUMMYFUNCTION("""COMPUTED_VALUE"""),178.15)</f>
        <v>178.15</v>
      </c>
      <c r="F307" s="2">
        <f>IFERROR(__xludf.DUMMYFUNCTION("""COMPUTED_VALUE"""),3.282432E7)</f>
        <v>32824320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IFERROR(__xludf.DUMMYFUNCTION("""COMPUTED_VALUE"""),177.75)</f>
        <v>177.75</v>
      </c>
      <c r="C308" s="2">
        <f>IFERROR(__xludf.DUMMYFUNCTION("""COMPUTED_VALUE"""),179.26)</f>
        <v>179.26</v>
      </c>
      <c r="D308" s="2">
        <f>IFERROR(__xludf.DUMMYFUNCTION("""COMPUTED_VALUE"""),176.75)</f>
        <v>176.75</v>
      </c>
      <c r="E308" s="2">
        <f>IFERROR(__xludf.DUMMYFUNCTION("""COMPUTED_VALUE"""),178.87)</f>
        <v>178.87</v>
      </c>
      <c r="F308" s="2">
        <f>IFERROR(__xludf.DUMMYFUNCTION("""COMPUTED_VALUE"""),2.7995378E7)</f>
        <v>27995378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IFERROR(__xludf.DUMMYFUNCTION("""COMPUTED_VALUE"""),178.01)</f>
        <v>178.01</v>
      </c>
      <c r="C309" s="2">
        <f>IFERROR(__xludf.DUMMYFUNCTION("""COMPUTED_VALUE"""),180.99)</f>
        <v>180.99</v>
      </c>
      <c r="D309" s="2">
        <f>IFERROR(__xludf.DUMMYFUNCTION("""COMPUTED_VALUE"""),177.24)</f>
        <v>177.24</v>
      </c>
      <c r="E309" s="2">
        <f>IFERROR(__xludf.DUMMYFUNCTION("""COMPUTED_VALUE"""),179.71)</f>
        <v>179.71</v>
      </c>
      <c r="F309" s="2">
        <f>IFERROR(__xludf.DUMMYFUNCTION("""COMPUTED_VALUE"""),2.9815464E7)</f>
        <v>29815464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IFERROR(__xludf.DUMMYFUNCTION("""COMPUTED_VALUE"""),180.15)</f>
        <v>180.15</v>
      </c>
      <c r="C310" s="2">
        <f>IFERROR(__xludf.DUMMYFUNCTION("""COMPUTED_VALUE"""),180.45)</f>
        <v>180.45</v>
      </c>
      <c r="D310" s="2">
        <f>IFERROR(__xludf.DUMMYFUNCTION("""COMPUTED_VALUE"""),177.95)</f>
        <v>177.95</v>
      </c>
      <c r="E310" s="2">
        <f>IFERROR(__xludf.DUMMYFUNCTION("""COMPUTED_VALUE"""),178.3)</f>
        <v>178.3</v>
      </c>
      <c r="F310" s="2">
        <f>IFERROR(__xludf.DUMMYFUNCTION("""COMPUTED_VALUE"""),2.9658982E7)</f>
        <v>29658982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IFERROR(__xludf.DUMMYFUNCTION("""COMPUTED_VALUE"""),179.88)</f>
        <v>179.88</v>
      </c>
      <c r="C311" s="2">
        <f>IFERROR(__xludf.DUMMYFUNCTION("""COMPUTED_VALUE"""),180.0)</f>
        <v>180</v>
      </c>
      <c r="D311" s="2">
        <f>IFERROR(__xludf.DUMMYFUNCTION("""COMPUTED_VALUE"""),177.31)</f>
        <v>177.31</v>
      </c>
      <c r="E311" s="2">
        <f>IFERROR(__xludf.DUMMYFUNCTION("""COMPUTED_VALUE"""),179.83)</f>
        <v>179.83</v>
      </c>
      <c r="F311" s="2">
        <f>IFERROR(__xludf.DUMMYFUNCTION("""COMPUTED_VALUE"""),3.3272551E7)</f>
        <v>33272551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IFERROR(__xludf.DUMMYFUNCTION("""COMPUTED_VALUE"""),180.17)</f>
        <v>180.17</v>
      </c>
      <c r="C312" s="2">
        <f>IFERROR(__xludf.DUMMYFUNCTION("""COMPUTED_VALUE"""),181.7)</f>
        <v>181.7</v>
      </c>
      <c r="D312" s="2">
        <f>IFERROR(__xludf.DUMMYFUNCTION("""COMPUTED_VALUE"""),179.26)</f>
        <v>179.26</v>
      </c>
      <c r="E312" s="2">
        <f>IFERROR(__xludf.DUMMYFUNCTION("""COMPUTED_VALUE"""),180.38)</f>
        <v>180.38</v>
      </c>
      <c r="F312" s="2">
        <f>IFERROR(__xludf.DUMMYFUNCTION("""COMPUTED_VALUE"""),3.8051588E7)</f>
        <v>38051588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IFERROR(__xludf.DUMMYFUNCTION("""COMPUTED_VALUE"""),180.79)</f>
        <v>180.79</v>
      </c>
      <c r="C313" s="2">
        <f>IFERROR(__xludf.DUMMYFUNCTION("""COMPUTED_VALUE"""),183.0)</f>
        <v>183</v>
      </c>
      <c r="D313" s="2">
        <f>IFERROR(__xludf.DUMMYFUNCTION("""COMPUTED_VALUE"""),179.95)</f>
        <v>179.95</v>
      </c>
      <c r="E313" s="2">
        <f>IFERROR(__xludf.DUMMYFUNCTION("""COMPUTED_VALUE"""),180.97)</f>
        <v>180.97</v>
      </c>
      <c r="F313" s="2">
        <f>IFERROR(__xludf.DUMMYFUNCTION("""COMPUTED_VALUE"""),2.9174521E7)</f>
        <v>29174521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IFERROR(__xludf.DUMMYFUNCTION("""COMPUTED_VALUE"""),179.07)</f>
        <v>179.07</v>
      </c>
      <c r="C314" s="2">
        <f>IFERROR(__xludf.DUMMYFUNCTION("""COMPUTED_VALUE"""),180.79)</f>
        <v>180.79</v>
      </c>
      <c r="D314" s="2">
        <f>IFERROR(__xludf.DUMMYFUNCTION("""COMPUTED_VALUE"""),178.38)</f>
        <v>178.38</v>
      </c>
      <c r="E314" s="2">
        <f>IFERROR(__xludf.DUMMYFUNCTION("""COMPUTED_VALUE"""),180.69)</f>
        <v>180.69</v>
      </c>
      <c r="F314" s="2">
        <f>IFERROR(__xludf.DUMMYFUNCTION("""COMPUTED_VALUE"""),3.2611546E7)</f>
        <v>32611546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IFERROR(__xludf.DUMMYFUNCTION("""COMPUTED_VALUE"""),179.9)</f>
        <v>179.9</v>
      </c>
      <c r="C315" s="2">
        <f>IFERROR(__xludf.DUMMYFUNCTION("""COMPUTED_VALUE"""),182.87)</f>
        <v>182.87</v>
      </c>
      <c r="D315" s="2">
        <f>IFERROR(__xludf.DUMMYFUNCTION("""COMPUTED_VALUE"""),179.8)</f>
        <v>179.8</v>
      </c>
      <c r="E315" s="2">
        <f>IFERROR(__xludf.DUMMYFUNCTION("""COMPUTED_VALUE"""),182.41)</f>
        <v>182.41</v>
      </c>
      <c r="F315" s="2">
        <f>IFERROR(__xludf.DUMMYFUNCTION("""COMPUTED_VALUE"""),3.1046638E7)</f>
        <v>31046638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IFERROR(__xludf.DUMMYFUNCTION("""COMPUTED_VALUE"""),184.0)</f>
        <v>184</v>
      </c>
      <c r="C316" s="2">
        <f>IFERROR(__xludf.DUMMYFUNCTION("""COMPUTED_VALUE"""),185.1)</f>
        <v>185.1</v>
      </c>
      <c r="D316" s="2">
        <f>IFERROR(__xludf.DUMMYFUNCTION("""COMPUTED_VALUE"""),180.0)</f>
        <v>180</v>
      </c>
      <c r="E316" s="2">
        <f>IFERROR(__xludf.DUMMYFUNCTION("""COMPUTED_VALUE"""),180.0)</f>
        <v>180</v>
      </c>
      <c r="F316" s="2">
        <f>IFERROR(__xludf.DUMMYFUNCTION("""COMPUTED_VALUE"""),4.1624261E7)</f>
        <v>41624261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IFERROR(__xludf.DUMMYFUNCTION("""COMPUTED_VALUE"""),182.38)</f>
        <v>182.38</v>
      </c>
      <c r="C317" s="2">
        <f>IFERROR(__xludf.DUMMYFUNCTION("""COMPUTED_VALUE"""),186.27)</f>
        <v>186.27</v>
      </c>
      <c r="D317" s="2">
        <f>IFERROR(__xludf.DUMMYFUNCTION("""COMPUTED_VALUE"""),181.97)</f>
        <v>181.97</v>
      </c>
      <c r="E317" s="2">
        <f>IFERROR(__xludf.DUMMYFUNCTION("""COMPUTED_VALUE"""),185.07)</f>
        <v>185.07</v>
      </c>
      <c r="F317" s="2">
        <f>IFERROR(__xludf.DUMMYFUNCTION("""COMPUTED_VALUE"""),4.2373992E7)</f>
        <v>42373992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IFERROR(__xludf.DUMMYFUNCTION("""COMPUTED_VALUE"""),186.9)</f>
        <v>186.9</v>
      </c>
      <c r="C318" s="2">
        <f>IFERROR(__xludf.DUMMYFUNCTION("""COMPUTED_VALUE"""),187.29)</f>
        <v>187.29</v>
      </c>
      <c r="D318" s="2">
        <f>IFERROR(__xludf.DUMMYFUNCTION("""COMPUTED_VALUE"""),184.81)</f>
        <v>184.81</v>
      </c>
      <c r="E318" s="2">
        <f>IFERROR(__xludf.DUMMYFUNCTION("""COMPUTED_VALUE"""),185.19)</f>
        <v>185.19</v>
      </c>
      <c r="F318" s="2">
        <f>IFERROR(__xludf.DUMMYFUNCTION("""COMPUTED_VALUE"""),3.9221282E7)</f>
        <v>39221282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IFERROR(__xludf.DUMMYFUNCTION("""COMPUTED_VALUE"""),187.24)</f>
        <v>187.24</v>
      </c>
      <c r="C319" s="2">
        <f>IFERROR(__xludf.DUMMYFUNCTION("""COMPUTED_VALUE"""),187.34)</f>
        <v>187.34</v>
      </c>
      <c r="D319" s="2">
        <f>IFERROR(__xludf.DUMMYFUNCTION("""COMPUTED_VALUE"""),184.2)</f>
        <v>184.2</v>
      </c>
      <c r="E319" s="2">
        <f>IFERROR(__xludf.DUMMYFUNCTION("""COMPUTED_VALUE"""),185.67)</f>
        <v>185.67</v>
      </c>
      <c r="F319" s="2">
        <f>IFERROR(__xludf.DUMMYFUNCTION("""COMPUTED_VALUE"""),3.6546946E7)</f>
        <v>36546946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IFERROR(__xludf.DUMMYFUNCTION("""COMPUTED_VALUE"""),182.77)</f>
        <v>182.77</v>
      </c>
      <c r="C320" s="2">
        <f>IFERROR(__xludf.DUMMYFUNCTION("""COMPUTED_VALUE"""),186.27)</f>
        <v>186.27</v>
      </c>
      <c r="D320" s="2">
        <f>IFERROR(__xludf.DUMMYFUNCTION("""COMPUTED_VALUE"""),182.67)</f>
        <v>182.67</v>
      </c>
      <c r="E320" s="2">
        <f>IFERROR(__xludf.DUMMYFUNCTION("""COMPUTED_VALUE"""),185.95)</f>
        <v>185.95</v>
      </c>
      <c r="F320" s="2">
        <f>IFERROR(__xludf.DUMMYFUNCTION("""COMPUTED_VALUE"""),3.5879151E7)</f>
        <v>35879151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IFERROR(__xludf.DUMMYFUNCTION("""COMPUTED_VALUE"""),186.74)</f>
        <v>186.74</v>
      </c>
      <c r="C321" s="2">
        <f>IFERROR(__xludf.DUMMYFUNCTION("""COMPUTED_VALUE"""),189.77)</f>
        <v>189.77</v>
      </c>
      <c r="D321" s="2">
        <f>IFERROR(__xludf.DUMMYFUNCTION("""COMPUTED_VALUE"""),185.51)</f>
        <v>185.51</v>
      </c>
      <c r="E321" s="2">
        <f>IFERROR(__xludf.DUMMYFUNCTION("""COMPUTED_VALUE"""),189.05)</f>
        <v>189.05</v>
      </c>
      <c r="F321" s="2">
        <f>IFERROR(__xludf.DUMMYFUNCTION("""COMPUTED_VALUE"""),4.0020742E7)</f>
        <v>40020742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IFERROR(__xludf.DUMMYFUNCTION("""COMPUTED_VALUE"""),187.72)</f>
        <v>187.72</v>
      </c>
      <c r="C322" s="2">
        <f>IFERROR(__xludf.DUMMYFUNCTION("""COMPUTED_VALUE"""),188.38)</f>
        <v>188.38</v>
      </c>
      <c r="D322" s="2">
        <f>IFERROR(__xludf.DUMMYFUNCTION("""COMPUTED_VALUE"""),185.08)</f>
        <v>185.08</v>
      </c>
      <c r="E322" s="2">
        <f>IFERROR(__xludf.DUMMYFUNCTION("""COMPUTED_VALUE"""),186.13)</f>
        <v>186.13</v>
      </c>
      <c r="F322" s="2">
        <f>IFERROR(__xludf.DUMMYFUNCTION("""COMPUTED_VALUE"""),3.8608849E7)</f>
        <v>38608849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IFERROR(__xludf.DUMMYFUNCTION("""COMPUTED_VALUE"""),187.43)</f>
        <v>187.43</v>
      </c>
      <c r="C323" s="2">
        <f>IFERROR(__xludf.DUMMYFUNCTION("""COMPUTED_VALUE"""),188.69)</f>
        <v>188.69</v>
      </c>
      <c r="D323" s="2">
        <f>IFERROR(__xludf.DUMMYFUNCTION("""COMPUTED_VALUE"""),183.0)</f>
        <v>183</v>
      </c>
      <c r="E323" s="2">
        <f>IFERROR(__xludf.DUMMYFUNCTION("""COMPUTED_VALUE"""),183.62)</f>
        <v>183.62</v>
      </c>
      <c r="F323" s="2">
        <f>IFERROR(__xludf.DUMMYFUNCTION("""COMPUTED_VALUE"""),4.8052395E7)</f>
        <v>48052395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IFERROR(__xludf.DUMMYFUNCTION("""COMPUTED_VALUE"""),183.27)</f>
        <v>183.27</v>
      </c>
      <c r="C324" s="2">
        <f>IFERROR(__xludf.DUMMYFUNCTION("""COMPUTED_VALUE"""),184.83)</f>
        <v>184.83</v>
      </c>
      <c r="D324" s="2">
        <f>IFERROR(__xludf.DUMMYFUNCTION("""COMPUTED_VALUE"""),182.26)</f>
        <v>182.26</v>
      </c>
      <c r="E324" s="2">
        <f>IFERROR(__xludf.DUMMYFUNCTION("""COMPUTED_VALUE"""),183.32)</f>
        <v>183.32</v>
      </c>
      <c r="F324" s="2">
        <f>IFERROR(__xludf.DUMMYFUNCTION("""COMPUTED_VALUE"""),3.2891265E7)</f>
        <v>32891265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IFERROR(__xludf.DUMMYFUNCTION("""COMPUTED_VALUE"""),184.31)</f>
        <v>184.31</v>
      </c>
      <c r="C325" s="2">
        <f>IFERROR(__xludf.DUMMYFUNCTION("""COMPUTED_VALUE"""),184.57)</f>
        <v>184.57</v>
      </c>
      <c r="D325" s="2">
        <f>IFERROR(__xludf.DUMMYFUNCTION("""COMPUTED_VALUE"""),179.82)</f>
        <v>179.82</v>
      </c>
      <c r="E325" s="2">
        <f>IFERROR(__xludf.DUMMYFUNCTION("""COMPUTED_VALUE"""),181.28)</f>
        <v>181.28</v>
      </c>
      <c r="F325" s="2">
        <f>IFERROR(__xludf.DUMMYFUNCTION("""COMPUTED_VALUE"""),3.1359673E7)</f>
        <v>31359673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IFERROR(__xludf.DUMMYFUNCTION("""COMPUTED_VALUE"""),181.47)</f>
        <v>181.47</v>
      </c>
      <c r="C326" s="2">
        <f>IFERROR(__xludf.DUMMYFUNCTION("""COMPUTED_VALUE"""),182.39)</f>
        <v>182.39</v>
      </c>
      <c r="D326" s="2">
        <f>IFERROR(__xludf.DUMMYFUNCTION("""COMPUTED_VALUE"""),178.65)</f>
        <v>178.65</v>
      </c>
      <c r="E326" s="2">
        <f>IFERROR(__xludf.DUMMYFUNCTION("""COMPUTED_VALUE"""),179.22)</f>
        <v>179.22</v>
      </c>
      <c r="F326" s="2">
        <f>IFERROR(__xludf.DUMMYFUNCTION("""COMPUTED_VALUE"""),3.0723793E7)</f>
        <v>30723793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IFERROR(__xludf.DUMMYFUNCTION("""COMPUTED_VALUE"""),178.74)</f>
        <v>178.74</v>
      </c>
      <c r="C327" s="2">
        <f>IFERROR(__xludf.DUMMYFUNCTION("""COMPUTED_VALUE"""),179.0)</f>
        <v>179</v>
      </c>
      <c r="D327" s="2">
        <f>IFERROR(__xludf.DUMMYFUNCTION("""COMPUTED_VALUE"""),173.44)</f>
        <v>173.44</v>
      </c>
      <c r="E327" s="2">
        <f>IFERROR(__xludf.DUMMYFUNCTION("""COMPUTED_VALUE"""),174.63)</f>
        <v>174.63</v>
      </c>
      <c r="F327" s="2">
        <f>IFERROR(__xludf.DUMMYFUNCTION("""COMPUTED_VALUE"""),5.6000729E7)</f>
        <v>56000729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IFERROR(__xludf.DUMMYFUNCTION("""COMPUTED_VALUE"""),176.94)</f>
        <v>176.94</v>
      </c>
      <c r="C328" s="2">
        <f>IFERROR(__xludf.DUMMYFUNCTION("""COMPUTED_VALUE"""),178.87)</f>
        <v>178.87</v>
      </c>
      <c r="D328" s="2">
        <f>IFERROR(__xludf.DUMMYFUNCTION("""COMPUTED_VALUE"""),174.56)</f>
        <v>174.56</v>
      </c>
      <c r="E328" s="2">
        <f>IFERROR(__xludf.DUMMYFUNCTION("""COMPUTED_VALUE"""),177.23)</f>
        <v>177.23</v>
      </c>
      <c r="F328" s="2">
        <f>IFERROR(__xludf.DUMMYFUNCTION("""COMPUTED_VALUE"""),3.792489E7)</f>
        <v>37924890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IFERROR(__xludf.DUMMYFUNCTION("""COMPUTED_VALUE"""),178.08)</f>
        <v>178.08</v>
      </c>
      <c r="C329" s="2">
        <f>IFERROR(__xludf.DUMMYFUNCTION("""COMPUTED_VALUE"""),179.93)</f>
        <v>179.93</v>
      </c>
      <c r="D329" s="2">
        <f>IFERROR(__xludf.DUMMYFUNCTION("""COMPUTED_VALUE"""),175.98)</f>
        <v>175.98</v>
      </c>
      <c r="E329" s="2">
        <f>IFERROR(__xludf.DUMMYFUNCTION("""COMPUTED_VALUE"""),179.54)</f>
        <v>179.54</v>
      </c>
      <c r="F329" s="2">
        <f>IFERROR(__xludf.DUMMYFUNCTION("""COMPUTED_VALUE"""),3.7046519E7)</f>
        <v>37046519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IFERROR(__xludf.DUMMYFUNCTION("""COMPUTED_VALUE"""),179.94)</f>
        <v>179.94</v>
      </c>
      <c r="C330" s="2">
        <f>IFERROR(__xludf.DUMMYFUNCTION("""COMPUTED_VALUE"""),180.32)</f>
        <v>180.32</v>
      </c>
      <c r="D330" s="2">
        <f>IFERROR(__xludf.DUMMYFUNCTION("""COMPUTED_VALUE"""),176.18)</f>
        <v>176.18</v>
      </c>
      <c r="E330" s="2">
        <f>IFERROR(__xludf.DUMMYFUNCTION("""COMPUTED_VALUE"""),176.59)</f>
        <v>176.59</v>
      </c>
      <c r="F330" s="2">
        <f>IFERROR(__xludf.DUMMYFUNCTION("""COMPUTED_VALUE"""),3.4185109E7)</f>
        <v>34185109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IFERROR(__xludf.DUMMYFUNCTION("""COMPUTED_VALUE"""),169.68)</f>
        <v>169.68</v>
      </c>
      <c r="C331" s="2">
        <f>IFERROR(__xludf.DUMMYFUNCTION("""COMPUTED_VALUE"""),173.92)</f>
        <v>173.92</v>
      </c>
      <c r="D331" s="2">
        <f>IFERROR(__xludf.DUMMYFUNCTION("""COMPUTED_VALUE"""),166.32)</f>
        <v>166.32</v>
      </c>
      <c r="E331" s="2">
        <f>IFERROR(__xludf.DUMMYFUNCTION("""COMPUTED_VALUE"""),173.67)</f>
        <v>173.67</v>
      </c>
      <c r="F331" s="2">
        <f>IFERROR(__xludf.DUMMYFUNCTION("""COMPUTED_VALUE"""),4.924939E7)</f>
        <v>49249390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IFERROR(__xludf.DUMMYFUNCTION("""COMPUTED_VALUE"""),177.8)</f>
        <v>177.8</v>
      </c>
      <c r="C332" s="2">
        <f>IFERROR(__xludf.DUMMYFUNCTION("""COMPUTED_VALUE"""),180.82)</f>
        <v>180.82</v>
      </c>
      <c r="D332" s="2">
        <f>IFERROR(__xludf.DUMMYFUNCTION("""COMPUTED_VALUE"""),176.13)</f>
        <v>176.13</v>
      </c>
      <c r="E332" s="2">
        <f>IFERROR(__xludf.DUMMYFUNCTION("""COMPUTED_VALUE"""),179.62)</f>
        <v>179.62</v>
      </c>
      <c r="F332" s="2">
        <f>IFERROR(__xludf.DUMMYFUNCTION("""COMPUTED_VALUE"""),4.3919765E7)</f>
        <v>43919765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IFERROR(__xludf.DUMMYFUNCTION("""COMPUTED_VALUE"""),182.75)</f>
        <v>182.75</v>
      </c>
      <c r="C333" s="2">
        <f>IFERROR(__xludf.DUMMYFUNCTION("""COMPUTED_VALUE"""),183.53)</f>
        <v>183.53</v>
      </c>
      <c r="D333" s="2">
        <f>IFERROR(__xludf.DUMMYFUNCTION("""COMPUTED_VALUE"""),179.39)</f>
        <v>179.39</v>
      </c>
      <c r="E333" s="2">
        <f>IFERROR(__xludf.DUMMYFUNCTION("""COMPUTED_VALUE"""),180.96)</f>
        <v>180.96</v>
      </c>
      <c r="F333" s="2">
        <f>IFERROR(__xludf.DUMMYFUNCTION("""COMPUTED_VALUE"""),5.4063937E7)</f>
        <v>54063937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IFERROR(__xludf.DUMMYFUNCTION("""COMPUTED_VALUE"""),181.09)</f>
        <v>181.09</v>
      </c>
      <c r="C334" s="2">
        <f>IFERROR(__xludf.DUMMYFUNCTION("""COMPUTED_VALUE"""),182.99)</f>
        <v>182.99</v>
      </c>
      <c r="D334" s="2">
        <f>IFERROR(__xludf.DUMMYFUNCTION("""COMPUTED_VALUE"""),174.8)</f>
        <v>174.8</v>
      </c>
      <c r="E334" s="2">
        <f>IFERROR(__xludf.DUMMYFUNCTION("""COMPUTED_VALUE"""),175.0)</f>
        <v>175</v>
      </c>
      <c r="F334" s="2">
        <f>IFERROR(__xludf.DUMMYFUNCTION("""COMPUTED_VALUE"""),9.4639786E7)</f>
        <v>94639786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IFERROR(__xludf.DUMMYFUNCTION("""COMPUTED_VALUE"""),181.64)</f>
        <v>181.64</v>
      </c>
      <c r="C335" s="2">
        <f>IFERROR(__xludf.DUMMYFUNCTION("""COMPUTED_VALUE"""),185.15)</f>
        <v>185.15</v>
      </c>
      <c r="D335" s="2">
        <f>IFERROR(__xludf.DUMMYFUNCTION("""COMPUTED_VALUE"""),176.56)</f>
        <v>176.56</v>
      </c>
      <c r="E335" s="2">
        <f>IFERROR(__xludf.DUMMYFUNCTION("""COMPUTED_VALUE"""),179.0)</f>
        <v>179</v>
      </c>
      <c r="F335" s="2">
        <f>IFERROR(__xludf.DUMMYFUNCTION("""COMPUTED_VALUE"""),9.4645148E7)</f>
        <v>94645148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IFERROR(__xludf.DUMMYFUNCTION("""COMPUTED_VALUE"""),180.85)</f>
        <v>180.85</v>
      </c>
      <c r="C336" s="2">
        <f>IFERROR(__xludf.DUMMYFUNCTION("""COMPUTED_VALUE"""),185.1)</f>
        <v>185.1</v>
      </c>
      <c r="D336" s="2">
        <f>IFERROR(__xludf.DUMMYFUNCTION("""COMPUTED_VALUE"""),179.91)</f>
        <v>179.91</v>
      </c>
      <c r="E336" s="2">
        <f>IFERROR(__xludf.DUMMYFUNCTION("""COMPUTED_VALUE"""),184.72)</f>
        <v>184.72</v>
      </c>
      <c r="F336" s="2">
        <f>IFERROR(__xludf.DUMMYFUNCTION("""COMPUTED_VALUE"""),5.430351E7)</f>
        <v>54303510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IFERROR(__xludf.DUMMYFUNCTION("""COMPUTED_VALUE"""),186.99)</f>
        <v>186.99</v>
      </c>
      <c r="C337" s="2">
        <f>IFERROR(__xludf.DUMMYFUNCTION("""COMPUTED_VALUE"""),187.87)</f>
        <v>187.87</v>
      </c>
      <c r="D337" s="2">
        <f>IFERROR(__xludf.DUMMYFUNCTION("""COMPUTED_VALUE"""),185.42)</f>
        <v>185.42</v>
      </c>
      <c r="E337" s="2">
        <f>IFERROR(__xludf.DUMMYFUNCTION("""COMPUTED_VALUE"""),186.21)</f>
        <v>186.21</v>
      </c>
      <c r="F337" s="2">
        <f>IFERROR(__xludf.DUMMYFUNCTION("""COMPUTED_VALUE"""),3.9172004E7)</f>
        <v>39172004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IFERROR(__xludf.DUMMYFUNCTION("""COMPUTED_VALUE"""),186.28)</f>
        <v>186.28</v>
      </c>
      <c r="C338" s="2">
        <f>IFERROR(__xludf.DUMMYFUNCTION("""COMPUTED_VALUE"""),188.75)</f>
        <v>188.75</v>
      </c>
      <c r="D338" s="2">
        <f>IFERROR(__xludf.DUMMYFUNCTION("""COMPUTED_VALUE"""),184.8)</f>
        <v>184.8</v>
      </c>
      <c r="E338" s="2">
        <f>IFERROR(__xludf.DUMMYFUNCTION("""COMPUTED_VALUE"""),188.7)</f>
        <v>188.7</v>
      </c>
      <c r="F338" s="2">
        <f>IFERROR(__xludf.DUMMYFUNCTION("""COMPUTED_VALUE"""),3.4725295E7)</f>
        <v>34725295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IFERROR(__xludf.DUMMYFUNCTION("""COMPUTED_VALUE"""),188.92)</f>
        <v>188.92</v>
      </c>
      <c r="C339" s="2">
        <f>IFERROR(__xludf.DUMMYFUNCTION("""COMPUTED_VALUE"""),189.94)</f>
        <v>189.94</v>
      </c>
      <c r="D339" s="2">
        <f>IFERROR(__xludf.DUMMYFUNCTION("""COMPUTED_VALUE"""),187.31)</f>
        <v>187.31</v>
      </c>
      <c r="E339" s="2">
        <f>IFERROR(__xludf.DUMMYFUNCTION("""COMPUTED_VALUE"""),188.76)</f>
        <v>188.76</v>
      </c>
      <c r="F339" s="2">
        <f>IFERROR(__xludf.DUMMYFUNCTION("""COMPUTED_VALUE"""),3.4048902E7)</f>
        <v>34048902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IFERROR(__xludf.DUMMYFUNCTION("""COMPUTED_VALUE"""),187.44)</f>
        <v>187.44</v>
      </c>
      <c r="C340" s="2">
        <f>IFERROR(__xludf.DUMMYFUNCTION("""COMPUTED_VALUE"""),188.43)</f>
        <v>188.43</v>
      </c>
      <c r="D340" s="2">
        <f>IFERROR(__xludf.DUMMYFUNCTION("""COMPUTED_VALUE"""),186.39)</f>
        <v>186.39</v>
      </c>
      <c r="E340" s="2">
        <f>IFERROR(__xludf.DUMMYFUNCTION("""COMPUTED_VALUE"""),188.0)</f>
        <v>188</v>
      </c>
      <c r="F340" s="2">
        <f>IFERROR(__xludf.DUMMYFUNCTION("""COMPUTED_VALUE"""),2.613635E7)</f>
        <v>26136350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IFERROR(__xludf.DUMMYFUNCTION("""COMPUTED_VALUE"""),188.88)</f>
        <v>188.88</v>
      </c>
      <c r="C341" s="2">
        <f>IFERROR(__xludf.DUMMYFUNCTION("""COMPUTED_VALUE"""),191.7)</f>
        <v>191.7</v>
      </c>
      <c r="D341" s="2">
        <f>IFERROR(__xludf.DUMMYFUNCTION("""COMPUTED_VALUE"""),187.44)</f>
        <v>187.44</v>
      </c>
      <c r="E341" s="2">
        <f>IFERROR(__xludf.DUMMYFUNCTION("""COMPUTED_VALUE"""),189.5)</f>
        <v>189.5</v>
      </c>
      <c r="F341" s="2">
        <f>IFERROR(__xludf.DUMMYFUNCTION("""COMPUTED_VALUE"""),4.3368377E7)</f>
        <v>43368377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IFERROR(__xludf.DUMMYFUNCTION("""COMPUTED_VALUE"""),189.16)</f>
        <v>189.16</v>
      </c>
      <c r="C342" s="2">
        <f>IFERROR(__xludf.DUMMYFUNCTION("""COMPUTED_VALUE"""),189.89)</f>
        <v>189.89</v>
      </c>
      <c r="D342" s="2">
        <f>IFERROR(__xludf.DUMMYFUNCTION("""COMPUTED_VALUE"""),186.93)</f>
        <v>186.93</v>
      </c>
      <c r="E342" s="2">
        <f>IFERROR(__xludf.DUMMYFUNCTION("""COMPUTED_VALUE"""),187.48)</f>
        <v>187.48</v>
      </c>
      <c r="F342" s="2">
        <f>IFERROR(__xludf.DUMMYFUNCTION("""COMPUTED_VALUE"""),3.4141771E7)</f>
        <v>34141771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IFERROR(__xludf.DUMMYFUNCTION("""COMPUTED_VALUE"""),188.0)</f>
        <v>188</v>
      </c>
      <c r="C343" s="2">
        <f>IFERROR(__xludf.DUMMYFUNCTION("""COMPUTED_VALUE"""),188.31)</f>
        <v>188.31</v>
      </c>
      <c r="D343" s="2">
        <f>IFERROR(__xludf.DUMMYFUNCTION("""COMPUTED_VALUE"""),185.36)</f>
        <v>185.36</v>
      </c>
      <c r="E343" s="2">
        <f>IFERROR(__xludf.DUMMYFUNCTION("""COMPUTED_VALUE"""),186.57)</f>
        <v>186.57</v>
      </c>
      <c r="F343" s="2">
        <f>IFERROR(__xludf.DUMMYFUNCTION("""COMPUTED_VALUE"""),2.4898613E7)</f>
        <v>24898613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IFERROR(__xludf.DUMMYFUNCTION("""COMPUTED_VALUE"""),183.82)</f>
        <v>183.82</v>
      </c>
      <c r="C344" s="2">
        <f>IFERROR(__xludf.DUMMYFUNCTION("""COMPUTED_VALUE"""),187.72)</f>
        <v>187.72</v>
      </c>
      <c r="D344" s="2">
        <f>IFERROR(__xludf.DUMMYFUNCTION("""COMPUTED_VALUE"""),183.45)</f>
        <v>183.45</v>
      </c>
      <c r="E344" s="2">
        <f>IFERROR(__xludf.DUMMYFUNCTION("""COMPUTED_VALUE"""),187.07)</f>
        <v>187.07</v>
      </c>
      <c r="F344" s="2">
        <f>IFERROR(__xludf.DUMMYFUNCTION("""COMPUTED_VALUE"""),3.8698155E7)</f>
        <v>38698155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IFERROR(__xludf.DUMMYFUNCTION("""COMPUTED_VALUE"""),185.97)</f>
        <v>185.97</v>
      </c>
      <c r="C345" s="2">
        <f>IFERROR(__xludf.DUMMYFUNCTION("""COMPUTED_VALUE"""),186.72)</f>
        <v>186.72</v>
      </c>
      <c r="D345" s="2">
        <f>IFERROR(__xludf.DUMMYFUNCTION("""COMPUTED_VALUE"""),182.73)</f>
        <v>182.73</v>
      </c>
      <c r="E345" s="2">
        <f>IFERROR(__xludf.DUMMYFUNCTION("""COMPUTED_VALUE"""),185.99)</f>
        <v>185.99</v>
      </c>
      <c r="F345" s="2">
        <f>IFERROR(__xludf.DUMMYFUNCTION("""COMPUTED_VALUE"""),7.5459927E7)</f>
        <v>75459927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IFERROR(__xludf.DUMMYFUNCTION("""COMPUTED_VALUE"""),185.6)</f>
        <v>185.6</v>
      </c>
      <c r="C346" s="2">
        <f>IFERROR(__xludf.DUMMYFUNCTION("""COMPUTED_VALUE"""),187.31)</f>
        <v>187.31</v>
      </c>
      <c r="D346" s="2">
        <f>IFERROR(__xludf.DUMMYFUNCTION("""COMPUTED_VALUE"""),183.46)</f>
        <v>183.46</v>
      </c>
      <c r="E346" s="2">
        <f>IFERROR(__xludf.DUMMYFUNCTION("""COMPUTED_VALUE"""),183.63)</f>
        <v>183.63</v>
      </c>
      <c r="F346" s="2">
        <f>IFERROR(__xludf.DUMMYFUNCTION("""COMPUTED_VALUE"""),3.883445E7)</f>
        <v>38834450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IFERROR(__xludf.DUMMYFUNCTION("""COMPUTED_VALUE"""),183.76)</f>
        <v>183.76</v>
      </c>
      <c r="C347" s="2">
        <f>IFERROR(__xludf.DUMMYFUNCTION("""COMPUTED_VALUE"""),185.3)</f>
        <v>185.3</v>
      </c>
      <c r="D347" s="2">
        <f>IFERROR(__xludf.DUMMYFUNCTION("""COMPUTED_VALUE"""),183.35)</f>
        <v>183.35</v>
      </c>
      <c r="E347" s="2">
        <f>IFERROR(__xludf.DUMMYFUNCTION("""COMPUTED_VALUE"""),184.7)</f>
        <v>184.7</v>
      </c>
      <c r="F347" s="2">
        <f>IFERROR(__xludf.DUMMYFUNCTION("""COMPUTED_VALUE"""),3.3175655E7)</f>
        <v>33175655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IFERROR(__xludf.DUMMYFUNCTION("""COMPUTED_VALUE"""),184.34)</f>
        <v>184.34</v>
      </c>
      <c r="C348" s="2">
        <f>IFERROR(__xludf.DUMMYFUNCTION("""COMPUTED_VALUE"""),186.67)</f>
        <v>186.67</v>
      </c>
      <c r="D348" s="2">
        <f>IFERROR(__xludf.DUMMYFUNCTION("""COMPUTED_VALUE"""),183.28)</f>
        <v>183.28</v>
      </c>
      <c r="E348" s="2">
        <f>IFERROR(__xludf.DUMMYFUNCTION("""COMPUTED_VALUE"""),183.54)</f>
        <v>183.54</v>
      </c>
      <c r="F348" s="2">
        <f>IFERROR(__xludf.DUMMYFUNCTION("""COMPUTED_VALUE"""),3.0511768E7)</f>
        <v>30511768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IFERROR(__xludf.DUMMYFUNCTION("""COMPUTED_VALUE"""),182.3)</f>
        <v>182.3</v>
      </c>
      <c r="C349" s="2">
        <f>IFERROR(__xludf.DUMMYFUNCTION("""COMPUTED_VALUE"""),183.26)</f>
        <v>183.26</v>
      </c>
      <c r="D349" s="2">
        <f>IFERROR(__xludf.DUMMYFUNCTION("""COMPUTED_VALUE"""),180.75)</f>
        <v>180.75</v>
      </c>
      <c r="E349" s="2">
        <f>IFERROR(__xludf.DUMMYFUNCTION("""COMPUTED_VALUE"""),183.15)</f>
        <v>183.15</v>
      </c>
      <c r="F349" s="2">
        <f>IFERROR(__xludf.DUMMYFUNCTION("""COMPUTED_VALUE"""),5.0839129E7)</f>
        <v>50839129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IFERROR(__xludf.DUMMYFUNCTION("""COMPUTED_VALUE"""),183.88)</f>
        <v>183.88</v>
      </c>
      <c r="C350" s="2">
        <f>IFERROR(__xludf.DUMMYFUNCTION("""COMPUTED_VALUE"""),185.22)</f>
        <v>185.22</v>
      </c>
      <c r="D350" s="2">
        <f>IFERROR(__xludf.DUMMYFUNCTION("""COMPUTED_VALUE"""),181.97)</f>
        <v>181.97</v>
      </c>
      <c r="E350" s="2">
        <f>IFERROR(__xludf.DUMMYFUNCTION("""COMPUTED_VALUE"""),183.13)</f>
        <v>183.13</v>
      </c>
      <c r="F350" s="2">
        <f>IFERROR(__xludf.DUMMYFUNCTION("""COMPUTED_VALUE"""),2.8148784E7)</f>
        <v>28148784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IFERROR(__xludf.DUMMYFUNCTION("""COMPUTED_VALUE"""),183.66)</f>
        <v>183.66</v>
      </c>
      <c r="C351" s="2">
        <f>IFERROR(__xludf.DUMMYFUNCTION("""COMPUTED_VALUE"""),184.76)</f>
        <v>184.76</v>
      </c>
      <c r="D351" s="2">
        <f>IFERROR(__xludf.DUMMYFUNCTION("""COMPUTED_VALUE"""),180.08)</f>
        <v>180.08</v>
      </c>
      <c r="E351" s="2">
        <f>IFERROR(__xludf.DUMMYFUNCTION("""COMPUTED_VALUE"""),181.05)</f>
        <v>181.05</v>
      </c>
      <c r="F351" s="2">
        <f>IFERROR(__xludf.DUMMYFUNCTION("""COMPUTED_VALUE"""),3.3670173E7)</f>
        <v>33670173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IFERROR(__xludf.DUMMYFUNCTION("""COMPUTED_VALUE"""),181.65)</f>
        <v>181.65</v>
      </c>
      <c r="C352" s="2">
        <f>IFERROR(__xludf.DUMMYFUNCTION("""COMPUTED_VALUE"""),182.44)</f>
        <v>182.44</v>
      </c>
      <c r="D352" s="2">
        <f>IFERROR(__xludf.DUMMYFUNCTION("""COMPUTED_VALUE"""),180.3)</f>
        <v>180.3</v>
      </c>
      <c r="E352" s="2">
        <f>IFERROR(__xludf.DUMMYFUNCTION("""COMPUTED_VALUE"""),180.75)</f>
        <v>180.75</v>
      </c>
      <c r="F352" s="2">
        <f>IFERROR(__xludf.DUMMYFUNCTION("""COMPUTED_VALUE"""),2.747164E7)</f>
        <v>27471640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IFERROR(__xludf.DUMMYFUNCTION("""COMPUTED_VALUE"""),179.93)</f>
        <v>179.93</v>
      </c>
      <c r="C353" s="2">
        <f>IFERROR(__xludf.DUMMYFUNCTION("""COMPUTED_VALUE"""),182.24)</f>
        <v>182.24</v>
      </c>
      <c r="D353" s="2">
        <f>IFERROR(__xludf.DUMMYFUNCTION("""COMPUTED_VALUE"""),179.49)</f>
        <v>179.49</v>
      </c>
      <c r="E353" s="2">
        <f>IFERROR(__xludf.DUMMYFUNCTION("""COMPUTED_VALUE"""),182.15)</f>
        <v>182.15</v>
      </c>
      <c r="F353" s="2">
        <f>IFERROR(__xludf.DUMMYFUNCTION("""COMPUTED_VALUE"""),2.9926963E7)</f>
        <v>29926963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IFERROR(__xludf.DUMMYFUNCTION("""COMPUTED_VALUE"""),181.7)</f>
        <v>181.7</v>
      </c>
      <c r="C354" s="2">
        <f>IFERROR(__xludf.DUMMYFUNCTION("""COMPUTED_VALUE"""),184.08)</f>
        <v>184.08</v>
      </c>
      <c r="D354" s="2">
        <f>IFERROR(__xludf.DUMMYFUNCTION("""COMPUTED_VALUE"""),181.55)</f>
        <v>181.55</v>
      </c>
      <c r="E354" s="2">
        <f>IFERROR(__xludf.DUMMYFUNCTION("""COMPUTED_VALUE"""),182.02)</f>
        <v>182.02</v>
      </c>
      <c r="F354" s="2">
        <f>IFERROR(__xludf.DUMMYFUNCTION("""COMPUTED_VALUE"""),3.2009294E7)</f>
        <v>32009294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IFERROR(__xludf.DUMMYFUNCTION("""COMPUTED_VALUE"""),181.31)</f>
        <v>181.31</v>
      </c>
      <c r="C355" s="2">
        <f>IFERROR(__xludf.DUMMYFUNCTION("""COMPUTED_VALUE"""),181.34)</f>
        <v>181.34</v>
      </c>
      <c r="D355" s="2">
        <f>IFERROR(__xludf.DUMMYFUNCTION("""COMPUTED_VALUE"""),178.36)</f>
        <v>178.36</v>
      </c>
      <c r="E355" s="2">
        <f>IFERROR(__xludf.DUMMYFUNCTION("""COMPUTED_VALUE"""),179.32)</f>
        <v>179.32</v>
      </c>
      <c r="F355" s="2">
        <f>IFERROR(__xludf.DUMMYFUNCTION("""COMPUTED_VALUE"""),2.9249229E7)</f>
        <v>29249229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IFERROR(__xludf.DUMMYFUNCTION("""COMPUTED_VALUE"""),178.3)</f>
        <v>178.3</v>
      </c>
      <c r="C356" s="2">
        <f>IFERROR(__xludf.DUMMYFUNCTION("""COMPUTED_VALUE"""),179.21)</f>
        <v>179.21</v>
      </c>
      <c r="D356" s="2">
        <f>IFERROR(__xludf.DUMMYFUNCTION("""COMPUTED_VALUE"""),173.87)</f>
        <v>173.87</v>
      </c>
      <c r="E356" s="2">
        <f>IFERROR(__xludf.DUMMYFUNCTION("""COMPUTED_VALUE"""),176.44)</f>
        <v>176.44</v>
      </c>
      <c r="F356" s="2">
        <f>IFERROR(__xludf.DUMMYFUNCTION("""COMPUTED_VALUE"""),5.8903939E7)</f>
        <v>58903939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IFERROR(__xludf.DUMMYFUNCTION("""COMPUTED_VALUE"""),177.7)</f>
        <v>177.7</v>
      </c>
      <c r="C357" s="2">
        <f>IFERROR(__xludf.DUMMYFUNCTION("""COMPUTED_VALUE"""),178.7)</f>
        <v>178.7</v>
      </c>
      <c r="D357" s="2">
        <f>IFERROR(__xludf.DUMMYFUNCTION("""COMPUTED_VALUE"""),175.92)</f>
        <v>175.92</v>
      </c>
      <c r="E357" s="2">
        <f>IFERROR(__xludf.DUMMYFUNCTION("""COMPUTED_VALUE"""),178.34)</f>
        <v>178.34</v>
      </c>
      <c r="F357" s="2">
        <f>IFERROR(__xludf.DUMMYFUNCTION("""COMPUTED_VALUE"""),3.078664E7)</f>
        <v>30786640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IFERROR(__xludf.DUMMYFUNCTION("""COMPUTED_VALUE"""),177.64)</f>
        <v>177.64</v>
      </c>
      <c r="C358" s="2">
        <f>IFERROR(__xludf.DUMMYFUNCTION("""COMPUTED_VALUE"""),179.82)</f>
        <v>179.82</v>
      </c>
      <c r="D358" s="2">
        <f>IFERROR(__xludf.DUMMYFUNCTION("""COMPUTED_VALUE"""),176.44)</f>
        <v>176.44</v>
      </c>
      <c r="E358" s="2">
        <f>IFERROR(__xludf.DUMMYFUNCTION("""COMPUTED_VALUE"""),179.34)</f>
        <v>179.34</v>
      </c>
      <c r="F358" s="2">
        <f>IFERROR(__xludf.DUMMYFUNCTION("""COMPUTED_VALUE"""),2.7198388E7)</f>
        <v>27198388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IFERROR(__xludf.DUMMYFUNCTION("""COMPUTED_VALUE"""),180.1)</f>
        <v>180.1</v>
      </c>
      <c r="C359" s="2">
        <f>IFERROR(__xludf.DUMMYFUNCTION("""COMPUTED_VALUE"""),181.5)</f>
        <v>181.5</v>
      </c>
      <c r="D359" s="2">
        <f>IFERROR(__xludf.DUMMYFUNCTION("""COMPUTED_VALUE"""),178.75)</f>
        <v>178.75</v>
      </c>
      <c r="E359" s="2">
        <f>IFERROR(__xludf.DUMMYFUNCTION("""COMPUTED_VALUE"""),181.28)</f>
        <v>181.28</v>
      </c>
      <c r="F359" s="2">
        <f>IFERROR(__xludf.DUMMYFUNCTION("""COMPUTED_VALUE"""),3.2116394E7)</f>
        <v>32116394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IFERROR(__xludf.DUMMYFUNCTION("""COMPUTED_VALUE"""),181.75)</f>
        <v>181.75</v>
      </c>
      <c r="C360" s="2">
        <f>IFERROR(__xludf.DUMMYFUNCTION("""COMPUTED_VALUE"""),185.0)</f>
        <v>185</v>
      </c>
      <c r="D360" s="2">
        <f>IFERROR(__xludf.DUMMYFUNCTION("""COMPUTED_VALUE"""),181.49)</f>
        <v>181.49</v>
      </c>
      <c r="E360" s="2">
        <f>IFERROR(__xludf.DUMMYFUNCTION("""COMPUTED_VALUE"""),185.0)</f>
        <v>185</v>
      </c>
      <c r="F360" s="2">
        <f>IFERROR(__xludf.DUMMYFUNCTION("""COMPUTED_VALUE"""),3.1371151E7)</f>
        <v>31371151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IFERROR(__xludf.DUMMYFUNCTION("""COMPUTED_VALUE"""),184.9)</f>
        <v>184.9</v>
      </c>
      <c r="C361" s="2">
        <f>IFERROR(__xludf.DUMMYFUNCTION("""COMPUTED_VALUE"""),186.29)</f>
        <v>186.29</v>
      </c>
      <c r="D361" s="2">
        <f>IFERROR(__xludf.DUMMYFUNCTION("""COMPUTED_VALUE"""),183.36)</f>
        <v>183.36</v>
      </c>
      <c r="E361" s="2">
        <f>IFERROR(__xludf.DUMMYFUNCTION("""COMPUTED_VALUE"""),184.3)</f>
        <v>184.3</v>
      </c>
      <c r="F361" s="2">
        <f>IFERROR(__xludf.DUMMYFUNCTION("""COMPUTED_VALUE"""),2.8021473E7)</f>
        <v>28021473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IFERROR(__xludf.DUMMYFUNCTION("""COMPUTED_VALUE"""),184.07)</f>
        <v>184.07</v>
      </c>
      <c r="C362" s="2">
        <f>IFERROR(__xludf.DUMMYFUNCTION("""COMPUTED_VALUE"""),187.23)</f>
        <v>187.23</v>
      </c>
      <c r="D362" s="2">
        <f>IFERROR(__xludf.DUMMYFUNCTION("""COMPUTED_VALUE"""),183.79)</f>
        <v>183.79</v>
      </c>
      <c r="E362" s="2">
        <f>IFERROR(__xludf.DUMMYFUNCTION("""COMPUTED_VALUE"""),187.06)</f>
        <v>187.06</v>
      </c>
      <c r="F362" s="2">
        <f>IFERROR(__xludf.DUMMYFUNCTION("""COMPUTED_VALUE"""),3.4494498E7)</f>
        <v>34494498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IFERROR(__xludf.DUMMYFUNCTION("""COMPUTED_VALUE"""),187.06)</f>
        <v>187.06</v>
      </c>
      <c r="C363" s="2">
        <f>IFERROR(__xludf.DUMMYFUNCTION("""COMPUTED_VALUE"""),187.77)</f>
        <v>187.77</v>
      </c>
      <c r="D363" s="2">
        <f>IFERROR(__xludf.DUMMYFUNCTION("""COMPUTED_VALUE"""),184.54)</f>
        <v>184.54</v>
      </c>
      <c r="E363" s="2">
        <f>IFERROR(__xludf.DUMMYFUNCTION("""COMPUTED_VALUE"""),187.23)</f>
        <v>187.23</v>
      </c>
      <c r="F363" s="2">
        <f>IFERROR(__xludf.DUMMYFUNCTION("""COMPUTED_VALUE"""),2.7265108E7)</f>
        <v>27265108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IFERROR(__xludf.DUMMYFUNCTION("""COMPUTED_VALUE"""),188.02)</f>
        <v>188.02</v>
      </c>
      <c r="C364" s="2">
        <f>IFERROR(__xludf.DUMMYFUNCTION("""COMPUTED_VALUE"""),188.35)</f>
        <v>188.35</v>
      </c>
      <c r="D364" s="2">
        <f>IFERROR(__xludf.DUMMYFUNCTION("""COMPUTED_VALUE"""),185.43)</f>
        <v>185.43</v>
      </c>
      <c r="E364" s="2">
        <f>IFERROR(__xludf.DUMMYFUNCTION("""COMPUTED_VALUE"""),186.89)</f>
        <v>186.89</v>
      </c>
      <c r="F364" s="2">
        <f>IFERROR(__xludf.DUMMYFUNCTION("""COMPUTED_VALUE"""),3.3984216E7)</f>
        <v>33984216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IFERROR(__xludf.DUMMYFUNCTION("""COMPUTED_VALUE"""),186.09)</f>
        <v>186.09</v>
      </c>
      <c r="C365" s="2">
        <f>IFERROR(__xludf.DUMMYFUNCTION("""COMPUTED_VALUE"""),187.67)</f>
        <v>187.67</v>
      </c>
      <c r="D365" s="2">
        <f>IFERROR(__xludf.DUMMYFUNCTION("""COMPUTED_VALUE"""),182.67)</f>
        <v>182.67</v>
      </c>
      <c r="E365" s="2">
        <f>IFERROR(__xludf.DUMMYFUNCTION("""COMPUTED_VALUE"""),183.83)</f>
        <v>183.83</v>
      </c>
      <c r="F365" s="2">
        <f>IFERROR(__xludf.DUMMYFUNCTION("""COMPUTED_VALUE"""),3.9721545E7)</f>
        <v>39721545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IFERROR(__xludf.DUMMYFUNCTION("""COMPUTED_VALUE"""),183.08)</f>
        <v>183.08</v>
      </c>
      <c r="C366" s="2">
        <f>IFERROR(__xludf.DUMMYFUNCTION("""COMPUTED_VALUE"""),183.72)</f>
        <v>183.72</v>
      </c>
      <c r="D366" s="2">
        <f>IFERROR(__xludf.DUMMYFUNCTION("""COMPUTED_VALUE"""),182.23)</f>
        <v>182.23</v>
      </c>
      <c r="E366" s="2">
        <f>IFERROR(__xludf.DUMMYFUNCTION("""COMPUTED_VALUE"""),183.66)</f>
        <v>183.66</v>
      </c>
      <c r="F366" s="2">
        <f>IFERROR(__xludf.DUMMYFUNCTION("""COMPUTED_VALUE"""),2.545641E7)</f>
        <v>25456410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IFERROR(__xludf.DUMMYFUNCTION("""COMPUTED_VALUE"""),182.52)</f>
        <v>182.52</v>
      </c>
      <c r="C367" s="2">
        <f>IFERROR(__xludf.DUMMYFUNCTION("""COMPUTED_VALUE"""),185.0)</f>
        <v>185</v>
      </c>
      <c r="D367" s="2">
        <f>IFERROR(__xludf.DUMMYFUNCTION("""COMPUTED_VALUE"""),181.22)</f>
        <v>181.22</v>
      </c>
      <c r="E367" s="2">
        <f>IFERROR(__xludf.DUMMYFUNCTION("""COMPUTED_VALUE"""),184.06)</f>
        <v>184.06</v>
      </c>
      <c r="F367" s="2">
        <f>IFERROR(__xludf.DUMMYFUNCTION("""COMPUTED_VALUE"""),3.5601907E7)</f>
        <v>35601907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IFERROR(__xludf.DUMMYFUNCTION("""COMPUTED_VALUE"""),183.74)</f>
        <v>183.74</v>
      </c>
      <c r="C368" s="2">
        <f>IFERROR(__xludf.DUMMYFUNCTION("""COMPUTED_VALUE"""),184.29)</f>
        <v>184.29</v>
      </c>
      <c r="D368" s="2">
        <f>IFERROR(__xludf.DUMMYFUNCTION("""COMPUTED_VALUE"""),181.43)</f>
        <v>181.43</v>
      </c>
      <c r="E368" s="2">
        <f>IFERROR(__xludf.DUMMYFUNCTION("""COMPUTED_VALUE"""),182.81)</f>
        <v>182.81</v>
      </c>
      <c r="F368" s="2">
        <f>IFERROR(__xludf.DUMMYFUNCTION("""COMPUTED_VALUE"""),3.6659157E7)</f>
        <v>36659157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IFERROR(__xludf.DUMMYFUNCTION("""COMPUTED_VALUE"""),182.91)</f>
        <v>182.91</v>
      </c>
      <c r="C369" s="2">
        <f>IFERROR(__xludf.DUMMYFUNCTION("""COMPUTED_VALUE"""),186.51)</f>
        <v>186.51</v>
      </c>
      <c r="D369" s="2">
        <f>IFERROR(__xludf.DUMMYFUNCTION("""COMPUTED_VALUE"""),182.72)</f>
        <v>182.72</v>
      </c>
      <c r="E369" s="2">
        <f>IFERROR(__xludf.DUMMYFUNCTION("""COMPUTED_VALUE"""),186.1)</f>
        <v>186.1</v>
      </c>
      <c r="F369" s="2">
        <f>IFERROR(__xludf.DUMMYFUNCTION("""COMPUTED_VALUE"""),4.4726779E7)</f>
        <v>44726779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IFERROR(__xludf.DUMMYFUNCTION("""COMPUTED_VALUE"""),187.8)</f>
        <v>187.8</v>
      </c>
      <c r="C370" s="2">
        <f>IFERROR(__xludf.DUMMYFUNCTION("""COMPUTED_VALUE"""),189.28)</f>
        <v>189.28</v>
      </c>
      <c r="D370" s="2">
        <f>IFERROR(__xludf.DUMMYFUNCTION("""COMPUTED_VALUE"""),185.86)</f>
        <v>185.86</v>
      </c>
      <c r="E370" s="2">
        <f>IFERROR(__xludf.DUMMYFUNCTION("""COMPUTED_VALUE"""),189.08)</f>
        <v>189.08</v>
      </c>
      <c r="F370" s="2">
        <f>IFERROR(__xludf.DUMMYFUNCTION("""COMPUTED_VALUE"""),7.2931754E7)</f>
        <v>72931754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IFERROR(__xludf.DUMMYFUNCTION("""COMPUTED_VALUE"""),189.33)</f>
        <v>189.33</v>
      </c>
      <c r="C371" s="2">
        <f>IFERROR(__xludf.DUMMYFUNCTION("""COMPUTED_VALUE"""),191.0)</f>
        <v>191</v>
      </c>
      <c r="D371" s="2">
        <f>IFERROR(__xludf.DUMMYFUNCTION("""COMPUTED_VALUE"""),185.33)</f>
        <v>185.33</v>
      </c>
      <c r="E371" s="2">
        <f>IFERROR(__xludf.DUMMYFUNCTION("""COMPUTED_VALUE"""),185.57)</f>
        <v>185.57</v>
      </c>
      <c r="F371" s="2">
        <f>IFERROR(__xludf.DUMMYFUNCTION("""COMPUTED_VALUE"""),5.0610379E7)</f>
        <v>50610379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IFERROR(__xludf.DUMMYFUNCTION("""COMPUTED_VALUE"""),186.81)</f>
        <v>186.81</v>
      </c>
      <c r="C372" s="2">
        <f>IFERROR(__xludf.DUMMYFUNCTION("""COMPUTED_VALUE"""),188.84)</f>
        <v>188.84</v>
      </c>
      <c r="D372" s="2">
        <f>IFERROR(__xludf.DUMMYFUNCTION("""COMPUTED_VALUE"""),185.42)</f>
        <v>185.42</v>
      </c>
      <c r="E372" s="2">
        <f>IFERROR(__xludf.DUMMYFUNCTION("""COMPUTED_VALUE"""),186.34)</f>
        <v>186.34</v>
      </c>
      <c r="F372" s="2">
        <f>IFERROR(__xludf.DUMMYFUNCTION("""COMPUTED_VALUE"""),4.5898475E7)</f>
        <v>45898475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IFERROR(__xludf.DUMMYFUNCTION("""COMPUTED_VALUE"""),186.92)</f>
        <v>186.92</v>
      </c>
      <c r="C373" s="2">
        <f>IFERROR(__xludf.DUMMYFUNCTION("""COMPUTED_VALUE"""),194.8)</f>
        <v>194.8</v>
      </c>
      <c r="D373" s="2">
        <f>IFERROR(__xludf.DUMMYFUNCTION("""COMPUTED_VALUE"""),186.26)</f>
        <v>186.26</v>
      </c>
      <c r="E373" s="2">
        <f>IFERROR(__xludf.DUMMYFUNCTION("""COMPUTED_VALUE"""),193.61)</f>
        <v>193.61</v>
      </c>
      <c r="F373" s="2">
        <f>IFERROR(__xludf.DUMMYFUNCTION("""COMPUTED_VALUE"""),6.5103893E7)</f>
        <v>65103893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IFERROR(__xludf.DUMMYFUNCTION("""COMPUTED_VALUE"""),195.01)</f>
        <v>195.01</v>
      </c>
      <c r="C374" s="2">
        <f>IFERROR(__xludf.DUMMYFUNCTION("""COMPUTED_VALUE"""),199.84)</f>
        <v>199.84</v>
      </c>
      <c r="D374" s="2">
        <f>IFERROR(__xludf.DUMMYFUNCTION("""COMPUTED_VALUE"""),194.2)</f>
        <v>194.2</v>
      </c>
      <c r="E374" s="2">
        <f>IFERROR(__xludf.DUMMYFUNCTION("""COMPUTED_VALUE"""),197.85)</f>
        <v>197.85</v>
      </c>
      <c r="F374" s="2">
        <f>IFERROR(__xludf.DUMMYFUNCTION("""COMPUTED_VALUE"""),7.4397491E7)</f>
        <v>74397491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IFERROR(__xludf.DUMMYFUNCTION("""COMPUTED_VALUE"""),197.73)</f>
        <v>197.73</v>
      </c>
      <c r="C375" s="2">
        <f>IFERROR(__xludf.DUMMYFUNCTION("""COMPUTED_VALUE"""),198.85)</f>
        <v>198.85</v>
      </c>
      <c r="D375" s="2">
        <f>IFERROR(__xludf.DUMMYFUNCTION("""COMPUTED_VALUE"""),192.5)</f>
        <v>192.5</v>
      </c>
      <c r="E375" s="2">
        <f>IFERROR(__xludf.DUMMYFUNCTION("""COMPUTED_VALUE"""),193.25)</f>
        <v>193.25</v>
      </c>
      <c r="F375" s="2">
        <f>IFERROR(__xludf.DUMMYFUNCTION("""COMPUTED_VALUE"""),7.6930192E7)</f>
        <v>76930192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IFERROR(__xludf.DUMMYFUNCTION("""COMPUTED_VALUE"""),193.49)</f>
        <v>193.49</v>
      </c>
      <c r="C376" s="2">
        <f>IFERROR(__xludf.DUMMYFUNCTION("""COMPUTED_VALUE"""),198.3)</f>
        <v>198.3</v>
      </c>
      <c r="D376" s="2">
        <f>IFERROR(__xludf.DUMMYFUNCTION("""COMPUTED_VALUE"""),192.82)</f>
        <v>192.82</v>
      </c>
      <c r="E376" s="2">
        <f>IFERROR(__xludf.DUMMYFUNCTION("""COMPUTED_VALUE"""),197.2)</f>
        <v>197.2</v>
      </c>
      <c r="F376" s="2">
        <f>IFERROR(__xludf.DUMMYFUNCTION("""COMPUTED_VALUE"""),4.1192011E7)</f>
        <v>41192011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IFERROR(__xludf.DUMMYFUNCTION("""COMPUTED_VALUE"""),197.28)</f>
        <v>197.28</v>
      </c>
      <c r="C377" s="2">
        <f>IFERROR(__xludf.DUMMYFUNCTION("""COMPUTED_VALUE"""),200.43)</f>
        <v>200.43</v>
      </c>
      <c r="D377" s="2">
        <f>IFERROR(__xludf.DUMMYFUNCTION("""COMPUTED_VALUE"""),195.93)</f>
        <v>195.93</v>
      </c>
      <c r="E377" s="2">
        <f>IFERROR(__xludf.DUMMYFUNCTION("""COMPUTED_VALUE"""),200.0)</f>
        <v>200</v>
      </c>
      <c r="F377" s="2">
        <f>IFERROR(__xludf.DUMMYFUNCTION("""COMPUTED_VALUE"""),4.5600013E7)</f>
        <v>45600013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IFERROR(__xludf.DUMMYFUNCTION("""COMPUTED_VALUE"""),199.94)</f>
        <v>199.94</v>
      </c>
      <c r="C378" s="2">
        <f>IFERROR(__xludf.DUMMYFUNCTION("""COMPUTED_VALUE"""),200.03)</f>
        <v>200.03</v>
      </c>
      <c r="D378" s="2">
        <f>IFERROR(__xludf.DUMMYFUNCTION("""COMPUTED_VALUE"""),196.76)</f>
        <v>196.76</v>
      </c>
      <c r="E378" s="2">
        <f>IFERROR(__xludf.DUMMYFUNCTION("""COMPUTED_VALUE"""),197.59)</f>
        <v>197.59</v>
      </c>
      <c r="F378" s="2">
        <f>IFERROR(__xludf.DUMMYFUNCTION("""COMPUTED_VALUE"""),3.1597926E7)</f>
        <v>31597926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IFERROR(__xludf.DUMMYFUNCTION("""COMPUTED_VALUE"""),198.65)</f>
        <v>198.65</v>
      </c>
      <c r="C379" s="2">
        <f>IFERROR(__xludf.DUMMYFUNCTION("""COMPUTED_VALUE"""),200.55)</f>
        <v>200.55</v>
      </c>
      <c r="D379" s="2">
        <f>IFERROR(__xludf.DUMMYFUNCTION("""COMPUTED_VALUE"""),198.17)</f>
        <v>198.17</v>
      </c>
      <c r="E379" s="2">
        <f>IFERROR(__xludf.DUMMYFUNCTION("""COMPUTED_VALUE"""),200.0)</f>
        <v>200</v>
      </c>
      <c r="F379" s="2">
        <f>IFERROR(__xludf.DUMMYFUNCTION("""COMPUTED_VALUE"""),3.9858885E7)</f>
        <v>39858885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IFERROR(__xludf.DUMMYFUNCTION("""COMPUTED_VALUE"""),200.04)</f>
        <v>200.04</v>
      </c>
      <c r="C380" s="2">
        <f>IFERROR(__xludf.DUMMYFUNCTION("""COMPUTED_VALUE"""),201.2)</f>
        <v>201.2</v>
      </c>
      <c r="D380" s="2">
        <f>IFERROR(__xludf.DUMMYFUNCTION("""COMPUTED_VALUE"""),197.96)</f>
        <v>197.96</v>
      </c>
      <c r="E380" s="2">
        <f>IFERROR(__xludf.DUMMYFUNCTION("""COMPUTED_VALUE"""),199.29)</f>
        <v>199.29</v>
      </c>
      <c r="F380" s="2">
        <f>IFERROR(__xludf.DUMMYFUNCTION("""COMPUTED_VALUE"""),3.4767261E7)</f>
        <v>34767261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IFERROR(__xludf.DUMMYFUNCTION("""COMPUTED_VALUE"""),199.4)</f>
        <v>199.4</v>
      </c>
      <c r="C381" s="2">
        <f>IFERROR(__xludf.DUMMYFUNCTION("""COMPUTED_VALUE"""),200.57)</f>
        <v>200.57</v>
      </c>
      <c r="D381" s="2">
        <f>IFERROR(__xludf.DUMMYFUNCTION("""COMPUTED_VALUE"""),199.05)</f>
        <v>199.05</v>
      </c>
      <c r="E381" s="2">
        <f>IFERROR(__xludf.DUMMYFUNCTION("""COMPUTED_VALUE"""),199.34)</f>
        <v>199.34</v>
      </c>
      <c r="F381" s="2">
        <f>IFERROR(__xludf.DUMMYFUNCTION("""COMPUTED_VALUE"""),3.2756736E7)</f>
        <v>32756736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IFERROR(__xludf.DUMMYFUNCTION("""COMPUTED_VALUE"""),200.0)</f>
        <v>200</v>
      </c>
      <c r="C382" s="2">
        <f>IFERROR(__xludf.DUMMYFUNCTION("""COMPUTED_VALUE"""),200.11)</f>
        <v>200.11</v>
      </c>
      <c r="D382" s="2">
        <f>IFERROR(__xludf.DUMMYFUNCTION("""COMPUTED_VALUE"""),197.69)</f>
        <v>197.69</v>
      </c>
      <c r="E382" s="2">
        <f>IFERROR(__xludf.DUMMYFUNCTION("""COMPUTED_VALUE"""),199.79)</f>
        <v>199.79</v>
      </c>
      <c r="F382" s="2">
        <f>IFERROR(__xludf.DUMMYFUNCTION("""COMPUTED_VALUE"""),3.2883753E7)</f>
        <v>32883753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IFERROR(__xludf.DUMMYFUNCTION("""COMPUTED_VALUE"""),200.09)</f>
        <v>200.09</v>
      </c>
      <c r="C383" s="2">
        <f>IFERROR(__xludf.DUMMYFUNCTION("""COMPUTED_VALUE"""),200.27)</f>
        <v>200.27</v>
      </c>
      <c r="D383" s="2">
        <f>IFERROR(__xludf.DUMMYFUNCTION("""COMPUTED_VALUE"""),192.86)</f>
        <v>192.86</v>
      </c>
      <c r="E383" s="2">
        <f>IFERROR(__xludf.DUMMYFUNCTION("""COMPUTED_VALUE"""),195.05)</f>
        <v>195.05</v>
      </c>
      <c r="F383" s="2">
        <f>IFERROR(__xludf.DUMMYFUNCTION("""COMPUTED_VALUE"""),4.4565041E7)</f>
        <v>44565041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IFERROR(__xludf.DUMMYFUNCTION("""COMPUTED_VALUE"""),194.8)</f>
        <v>194.8</v>
      </c>
      <c r="C384" s="2">
        <f>IFERROR(__xludf.DUMMYFUNCTION("""COMPUTED_VALUE"""),196.47)</f>
        <v>196.47</v>
      </c>
      <c r="D384" s="2">
        <f>IFERROR(__xludf.DUMMYFUNCTION("""COMPUTED_VALUE"""),193.83)</f>
        <v>193.83</v>
      </c>
      <c r="E384" s="2">
        <f>IFERROR(__xludf.DUMMYFUNCTION("""COMPUTED_VALUE"""),194.49)</f>
        <v>194.49</v>
      </c>
      <c r="F384" s="2">
        <f>IFERROR(__xludf.DUMMYFUNCTION("""COMPUTED_VALUE"""),3.0598525E7)</f>
        <v>30598525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IFERROR(__xludf.DUMMYFUNCTION("""COMPUTED_VALUE"""),194.56)</f>
        <v>194.56</v>
      </c>
      <c r="C385" s="2">
        <f>IFERROR(__xludf.DUMMYFUNCTION("""COMPUTED_VALUE"""),196.19)</f>
        <v>196.19</v>
      </c>
      <c r="D385" s="2">
        <f>IFERROR(__xludf.DUMMYFUNCTION("""COMPUTED_VALUE"""),190.83)</f>
        <v>190.83</v>
      </c>
      <c r="E385" s="2">
        <f>IFERROR(__xludf.DUMMYFUNCTION("""COMPUTED_VALUE"""),192.72)</f>
        <v>192.72</v>
      </c>
      <c r="F385" s="2">
        <f>IFERROR(__xludf.DUMMYFUNCTION("""COMPUTED_VALUE"""),4.0683227E7)</f>
        <v>40683227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IFERROR(__xludf.DUMMYFUNCTION("""COMPUTED_VALUE"""),195.59)</f>
        <v>195.59</v>
      </c>
      <c r="C386" s="2">
        <f>IFERROR(__xludf.DUMMYFUNCTION("""COMPUTED_VALUE"""),196.62)</f>
        <v>196.62</v>
      </c>
      <c r="D386" s="2">
        <f>IFERROR(__xludf.DUMMYFUNCTION("""COMPUTED_VALUE"""),192.24)</f>
        <v>192.24</v>
      </c>
      <c r="E386" s="2">
        <f>IFERROR(__xludf.DUMMYFUNCTION("""COMPUTED_VALUE"""),193.02)</f>
        <v>193.02</v>
      </c>
      <c r="F386" s="2">
        <f>IFERROR(__xludf.DUMMYFUNCTION("""COMPUTED_VALUE"""),3.3994714E7)</f>
        <v>33994714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IFERROR(__xludf.DUMMYFUNCTION("""COMPUTED_VALUE"""),191.35)</f>
        <v>191.35</v>
      </c>
      <c r="C387" s="2">
        <f>IFERROR(__xludf.DUMMYFUNCTION("""COMPUTED_VALUE"""),191.58)</f>
        <v>191.58</v>
      </c>
      <c r="D387" s="2">
        <f>IFERROR(__xludf.DUMMYFUNCTION("""COMPUTED_VALUE"""),185.99)</f>
        <v>185.99</v>
      </c>
      <c r="E387" s="2">
        <f>IFERROR(__xludf.DUMMYFUNCTION("""COMPUTED_VALUE"""),187.93)</f>
        <v>187.93</v>
      </c>
      <c r="F387" s="2">
        <f>IFERROR(__xludf.DUMMYFUNCTION("""COMPUTED_VALUE"""),4.8076139E7)</f>
        <v>48076139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IFERROR(__xludf.DUMMYFUNCTION("""COMPUTED_VALUE"""),189.59)</f>
        <v>189.59</v>
      </c>
      <c r="C388" s="2">
        <f>IFERROR(__xludf.DUMMYFUNCTION("""COMPUTED_VALUE"""),189.68)</f>
        <v>189.68</v>
      </c>
      <c r="D388" s="2">
        <f>IFERROR(__xludf.DUMMYFUNCTION("""COMPUTED_VALUE"""),181.45)</f>
        <v>181.45</v>
      </c>
      <c r="E388" s="2">
        <f>IFERROR(__xludf.DUMMYFUNCTION("""COMPUTED_VALUE"""),183.75)</f>
        <v>183.75</v>
      </c>
      <c r="F388" s="2">
        <f>IFERROR(__xludf.DUMMYFUNCTION("""COMPUTED_VALUE"""),5.1043626E7)</f>
        <v>51043626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IFERROR(__xludf.DUMMYFUNCTION("""COMPUTED_VALUE"""),181.14)</f>
        <v>181.14</v>
      </c>
      <c r="C389" s="2">
        <f>IFERROR(__xludf.DUMMYFUNCTION("""COMPUTED_VALUE"""),184.93)</f>
        <v>184.93</v>
      </c>
      <c r="D389" s="2">
        <f>IFERROR(__xludf.DUMMYFUNCTION("""COMPUTED_VALUE"""),180.11)</f>
        <v>180.11</v>
      </c>
      <c r="E389" s="2">
        <f>IFERROR(__xludf.DUMMYFUNCTION("""COMPUTED_VALUE"""),183.13)</f>
        <v>183.13</v>
      </c>
      <c r="F389" s="2">
        <f>IFERROR(__xludf.DUMMYFUNCTION("""COMPUTED_VALUE"""),4.3081829E7)</f>
        <v>43081829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IFERROR(__xludf.DUMMYFUNCTION("""COMPUTED_VALUE"""),185.0)</f>
        <v>185</v>
      </c>
      <c r="C390" s="2">
        <f>IFERROR(__xludf.DUMMYFUNCTION("""COMPUTED_VALUE"""),185.06)</f>
        <v>185.06</v>
      </c>
      <c r="D390" s="2">
        <f>IFERROR(__xludf.DUMMYFUNCTION("""COMPUTED_VALUE"""),182.48)</f>
        <v>182.48</v>
      </c>
      <c r="E390" s="2">
        <f>IFERROR(__xludf.DUMMYFUNCTION("""COMPUTED_VALUE"""),182.55)</f>
        <v>182.55</v>
      </c>
      <c r="F390" s="2">
        <f>IFERROR(__xludf.DUMMYFUNCTION("""COMPUTED_VALUE"""),3.9931923E7)</f>
        <v>39931923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IFERROR(__xludf.DUMMYFUNCTION("""COMPUTED_VALUE"""),184.1)</f>
        <v>184.1</v>
      </c>
      <c r="C391" s="2">
        <f>IFERROR(__xludf.DUMMYFUNCTION("""COMPUTED_VALUE"""),189.39)</f>
        <v>189.39</v>
      </c>
      <c r="D391" s="2">
        <f>IFERROR(__xludf.DUMMYFUNCTION("""COMPUTED_VALUE"""),183.56)</f>
        <v>183.56</v>
      </c>
      <c r="E391" s="2">
        <f>IFERROR(__xludf.DUMMYFUNCTION("""COMPUTED_VALUE"""),186.41)</f>
        <v>186.41</v>
      </c>
      <c r="F391" s="2">
        <f>IFERROR(__xludf.DUMMYFUNCTION("""COMPUTED_VALUE"""),4.753767E7)</f>
        <v>47537670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IFERROR(__xludf.DUMMYFUNCTION("""COMPUTED_VALUE"""),183.2)</f>
        <v>183.2</v>
      </c>
      <c r="C392" s="2">
        <f>IFERROR(__xludf.DUMMYFUNCTION("""COMPUTED_VALUE"""),185.45)</f>
        <v>185.45</v>
      </c>
      <c r="D392" s="2">
        <f>IFERROR(__xludf.DUMMYFUNCTION("""COMPUTED_VALUE"""),180.41)</f>
        <v>180.41</v>
      </c>
      <c r="E392" s="2">
        <f>IFERROR(__xludf.DUMMYFUNCTION("""COMPUTED_VALUE"""),180.83)</f>
        <v>180.83</v>
      </c>
      <c r="F392" s="2">
        <f>IFERROR(__xludf.DUMMYFUNCTION("""COMPUTED_VALUE"""),4.153236E7)</f>
        <v>41532360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IFERROR(__xludf.DUMMYFUNCTION("""COMPUTED_VALUE"""),182.91)</f>
        <v>182.91</v>
      </c>
      <c r="C393" s="2">
        <f>IFERROR(__xludf.DUMMYFUNCTION("""COMPUTED_VALUE"""),183.9)</f>
        <v>183.9</v>
      </c>
      <c r="D393" s="2">
        <f>IFERROR(__xludf.DUMMYFUNCTION("""COMPUTED_VALUE"""),176.8)</f>
        <v>176.8</v>
      </c>
      <c r="E393" s="2">
        <f>IFERROR(__xludf.DUMMYFUNCTION("""COMPUTED_VALUE"""),179.85)</f>
        <v>179.85</v>
      </c>
      <c r="F393" s="2">
        <f>IFERROR(__xludf.DUMMYFUNCTION("""COMPUTED_VALUE"""),4.4464163E7)</f>
        <v>44464163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IFERROR(__xludf.DUMMYFUNCTION("""COMPUTED_VALUE"""),180.39)</f>
        <v>180.39</v>
      </c>
      <c r="C394" s="2">
        <f>IFERROR(__xludf.DUMMYFUNCTION("""COMPUTED_VALUE"""),183.19)</f>
        <v>183.19</v>
      </c>
      <c r="D394" s="2">
        <f>IFERROR(__xludf.DUMMYFUNCTION("""COMPUTED_VALUE"""),180.24)</f>
        <v>180.24</v>
      </c>
      <c r="E394" s="2">
        <f>IFERROR(__xludf.DUMMYFUNCTION("""COMPUTED_VALUE"""),182.5)</f>
        <v>182.5</v>
      </c>
      <c r="F394" s="2">
        <f>IFERROR(__xludf.DUMMYFUNCTION("""COMPUTED_VALUE"""),2.9505964E7)</f>
        <v>29505964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IFERROR(__xludf.DUMMYFUNCTION("""COMPUTED_VALUE"""),183.84)</f>
        <v>183.84</v>
      </c>
      <c r="C395" s="2">
        <f>IFERROR(__xludf.DUMMYFUNCTION("""COMPUTED_VALUE"""),184.75)</f>
        <v>184.75</v>
      </c>
      <c r="D395" s="2">
        <f>IFERROR(__xludf.DUMMYFUNCTION("""COMPUTED_VALUE"""),182.38)</f>
        <v>182.38</v>
      </c>
      <c r="E395" s="2">
        <f>IFERROR(__xludf.DUMMYFUNCTION("""COMPUTED_VALUE"""),183.2)</f>
        <v>183.2</v>
      </c>
      <c r="F395" s="2">
        <f>IFERROR(__xludf.DUMMYFUNCTION("""COMPUTED_VALUE"""),3.3270123E7)</f>
        <v>33270123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IFERROR(__xludf.DUMMYFUNCTION("""COMPUTED_VALUE"""),184.72)</f>
        <v>184.72</v>
      </c>
      <c r="C396" s="2">
        <f>IFERROR(__xludf.DUMMYFUNCTION("""COMPUTED_VALUE"""),185.86)</f>
        <v>185.86</v>
      </c>
      <c r="D396" s="2">
        <f>IFERROR(__xludf.DUMMYFUNCTION("""COMPUTED_VALUE"""),179.38)</f>
        <v>179.38</v>
      </c>
      <c r="E396" s="2">
        <f>IFERROR(__xludf.DUMMYFUNCTION("""COMPUTED_VALUE"""),181.71)</f>
        <v>181.71</v>
      </c>
      <c r="F396" s="2">
        <f>IFERROR(__xludf.DUMMYFUNCTION("""COMPUTED_VALUE"""),3.9508574E7)</f>
        <v>39508574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IFERROR(__xludf.DUMMYFUNCTION("""COMPUTED_VALUE"""),185.05)</f>
        <v>185.05</v>
      </c>
      <c r="C397" s="2">
        <f>IFERROR(__xludf.DUMMYFUNCTION("""COMPUTED_VALUE"""),187.94)</f>
        <v>187.94</v>
      </c>
      <c r="D397" s="2">
        <f>IFERROR(__xludf.DUMMYFUNCTION("""COMPUTED_VALUE"""),184.46)</f>
        <v>184.46</v>
      </c>
      <c r="E397" s="2">
        <f>IFERROR(__xludf.DUMMYFUNCTION("""COMPUTED_VALUE"""),186.98)</f>
        <v>186.98</v>
      </c>
      <c r="F397" s="2">
        <f>IFERROR(__xludf.DUMMYFUNCTION("""COMPUTED_VALUE"""),4.1667326E7)</f>
        <v>41667326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IFERROR(__xludf.DUMMYFUNCTION("""COMPUTED_VALUE"""),189.29)</f>
        <v>189.29</v>
      </c>
      <c r="C398" s="2">
        <f>IFERROR(__xludf.DUMMYFUNCTION("""COMPUTED_VALUE"""),190.6)</f>
        <v>190.6</v>
      </c>
      <c r="D398" s="2">
        <f>IFERROR(__xludf.DUMMYFUNCTION("""COMPUTED_VALUE"""),181.87)</f>
        <v>181.87</v>
      </c>
      <c r="E398" s="2">
        <f>IFERROR(__xludf.DUMMYFUNCTION("""COMPUTED_VALUE"""),184.07)</f>
        <v>184.07</v>
      </c>
      <c r="F398" s="2">
        <f>IFERROR(__xludf.DUMMYFUNCTION("""COMPUTED_VALUE"""),7.0435635E7)</f>
        <v>70435635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IFERROR(__xludf.DUMMYFUNCTION("""COMPUTED_VALUE"""),166.75)</f>
        <v>166.75</v>
      </c>
      <c r="C399" s="2">
        <f>IFERROR(__xludf.DUMMYFUNCTION("""COMPUTED_VALUE"""),168.77)</f>
        <v>168.77</v>
      </c>
      <c r="D399" s="2">
        <f>IFERROR(__xludf.DUMMYFUNCTION("""COMPUTED_VALUE"""),160.55)</f>
        <v>160.55</v>
      </c>
      <c r="E399" s="2">
        <f>IFERROR(__xludf.DUMMYFUNCTION("""COMPUTED_VALUE"""),167.9)</f>
        <v>167.9</v>
      </c>
      <c r="F399" s="2">
        <f>IFERROR(__xludf.DUMMYFUNCTION("""COMPUTED_VALUE"""),1.41448365E8)</f>
        <v>141448365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IFERROR(__xludf.DUMMYFUNCTION("""COMPUTED_VALUE"""),154.21)</f>
        <v>154.21</v>
      </c>
      <c r="C400" s="2">
        <f>IFERROR(__xludf.DUMMYFUNCTION("""COMPUTED_VALUE"""),162.96)</f>
        <v>162.96</v>
      </c>
      <c r="D400" s="2">
        <f>IFERROR(__xludf.DUMMYFUNCTION("""COMPUTED_VALUE"""),151.61)</f>
        <v>151.61</v>
      </c>
      <c r="E400" s="2">
        <f>IFERROR(__xludf.DUMMYFUNCTION("""COMPUTED_VALUE"""),161.02)</f>
        <v>161.02</v>
      </c>
      <c r="F400" s="2">
        <f>IFERROR(__xludf.DUMMYFUNCTION("""COMPUTED_VALUE"""),8.3149437E7)</f>
        <v>83149437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IFERROR(__xludf.DUMMYFUNCTION("""COMPUTED_VALUE"""),161.71)</f>
        <v>161.71</v>
      </c>
      <c r="C401" s="2">
        <f>IFERROR(__xludf.DUMMYFUNCTION("""COMPUTED_VALUE"""),165.08)</f>
        <v>165.08</v>
      </c>
      <c r="D401" s="2">
        <f>IFERROR(__xludf.DUMMYFUNCTION("""COMPUTED_VALUE"""),158.54)</f>
        <v>158.54</v>
      </c>
      <c r="E401" s="2">
        <f>IFERROR(__xludf.DUMMYFUNCTION("""COMPUTED_VALUE"""),161.93)</f>
        <v>161.93</v>
      </c>
      <c r="F401" s="2">
        <f>IFERROR(__xludf.DUMMYFUNCTION("""COMPUTED_VALUE"""),5.995083E7)</f>
        <v>59950830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IFERROR(__xludf.DUMMYFUNCTION("""COMPUTED_VALUE"""),166.55)</f>
        <v>166.55</v>
      </c>
      <c r="C402" s="2">
        <f>IFERROR(__xludf.DUMMYFUNCTION("""COMPUTED_VALUE"""),167.58)</f>
        <v>167.58</v>
      </c>
      <c r="D402" s="2">
        <f>IFERROR(__xludf.DUMMYFUNCTION("""COMPUTED_VALUE"""),161.43)</f>
        <v>161.43</v>
      </c>
      <c r="E402" s="2">
        <f>IFERROR(__xludf.DUMMYFUNCTION("""COMPUTED_VALUE"""),162.77)</f>
        <v>162.77</v>
      </c>
      <c r="F402" s="2">
        <f>IFERROR(__xludf.DUMMYFUNCTION("""COMPUTED_VALUE"""),4.840824E7)</f>
        <v>48408240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IFERROR(__xludf.DUMMYFUNCTION("""COMPUTED_VALUE"""),165.17)</f>
        <v>165.17</v>
      </c>
      <c r="C403" s="2">
        <f>IFERROR(__xludf.DUMMYFUNCTION("""COMPUTED_VALUE"""),166.69)</f>
        <v>166.69</v>
      </c>
      <c r="D403" s="2">
        <f>IFERROR(__xludf.DUMMYFUNCTION("""COMPUTED_VALUE"""),162.55)</f>
        <v>162.55</v>
      </c>
      <c r="E403" s="2">
        <f>IFERROR(__xludf.DUMMYFUNCTION("""COMPUTED_VALUE"""),165.8)</f>
        <v>165.8</v>
      </c>
      <c r="F403" s="2">
        <f>IFERROR(__xludf.DUMMYFUNCTION("""COMPUTED_VALUE"""),4.4616206E7)</f>
        <v>44616206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IFERROR(__xludf.DUMMYFUNCTION("""COMPUTED_VALUE"""),166.4)</f>
        <v>166.4</v>
      </c>
      <c r="C404" s="2">
        <f>IFERROR(__xludf.DUMMYFUNCTION("""COMPUTED_VALUE"""),168.55)</f>
        <v>168.55</v>
      </c>
      <c r="D404" s="2">
        <f>IFERROR(__xludf.DUMMYFUNCTION("""COMPUTED_VALUE"""),165.85)</f>
        <v>165.85</v>
      </c>
      <c r="E404" s="2">
        <f>IFERROR(__xludf.DUMMYFUNCTION("""COMPUTED_VALUE"""),166.94)</f>
        <v>166.94</v>
      </c>
      <c r="F404" s="2">
        <f>IFERROR(__xludf.DUMMYFUNCTION("""COMPUTED_VALUE"""),3.6401049E7)</f>
        <v>36401049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IFERROR(__xludf.DUMMYFUNCTION("""COMPUTED_VALUE"""),168.14)</f>
        <v>168.14</v>
      </c>
      <c r="C405" s="2">
        <f>IFERROR(__xludf.DUMMYFUNCTION("""COMPUTED_VALUE"""),168.55)</f>
        <v>168.55</v>
      </c>
      <c r="D405" s="2">
        <f>IFERROR(__xludf.DUMMYFUNCTION("""COMPUTED_VALUE"""),166.11)</f>
        <v>166.11</v>
      </c>
      <c r="E405" s="2">
        <f>IFERROR(__xludf.DUMMYFUNCTION("""COMPUTED_VALUE"""),166.8)</f>
        <v>166.8</v>
      </c>
      <c r="F405" s="2">
        <f>IFERROR(__xludf.DUMMYFUNCTION("""COMPUTED_VALUE"""),3.0072788E7)</f>
        <v>30072788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IFERROR(__xludf.DUMMYFUNCTION("""COMPUTED_VALUE"""),167.81)</f>
        <v>167.81</v>
      </c>
      <c r="C406" s="2">
        <f>IFERROR(__xludf.DUMMYFUNCTION("""COMPUTED_VALUE"""),171.04)</f>
        <v>171.04</v>
      </c>
      <c r="D406" s="2">
        <f>IFERROR(__xludf.DUMMYFUNCTION("""COMPUTED_VALUE"""),167.1)</f>
        <v>167.1</v>
      </c>
      <c r="E406" s="2">
        <f>IFERROR(__xludf.DUMMYFUNCTION("""COMPUTED_VALUE"""),170.23)</f>
        <v>170.23</v>
      </c>
      <c r="F406" s="2">
        <f>IFERROR(__xludf.DUMMYFUNCTION("""COMPUTED_VALUE"""),3.9237915E7)</f>
        <v>39237915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IFERROR(__xludf.DUMMYFUNCTION("""COMPUTED_VALUE"""),172.11)</f>
        <v>172.11</v>
      </c>
      <c r="C407" s="2">
        <f>IFERROR(__xludf.DUMMYFUNCTION("""COMPUTED_VALUE"""),172.28)</f>
        <v>172.28</v>
      </c>
      <c r="D407" s="2">
        <f>IFERROR(__xludf.DUMMYFUNCTION("""COMPUTED_VALUE"""),168.86)</f>
        <v>168.86</v>
      </c>
      <c r="E407" s="2">
        <f>IFERROR(__xludf.DUMMYFUNCTION("""COMPUTED_VALUE"""),170.1)</f>
        <v>170.1</v>
      </c>
      <c r="F407" s="2">
        <f>IFERROR(__xludf.DUMMYFUNCTION("""COMPUTED_VALUE"""),2.8843804E7)</f>
        <v>28843804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IFERROR(__xludf.DUMMYFUNCTION("""COMPUTED_VALUE"""),174.86)</f>
        <v>174.86</v>
      </c>
      <c r="C408" s="2">
        <f>IFERROR(__xludf.DUMMYFUNCTION("""COMPUTED_VALUE"""),177.91)</f>
        <v>177.91</v>
      </c>
      <c r="D408" s="2">
        <f>IFERROR(__xludf.DUMMYFUNCTION("""COMPUTED_VALUE"""),173.99)</f>
        <v>173.99</v>
      </c>
      <c r="E408" s="2">
        <f>IFERROR(__xludf.DUMMYFUNCTION("""COMPUTED_VALUE"""),177.59)</f>
        <v>177.59</v>
      </c>
      <c r="F408" s="2">
        <f>IFERROR(__xludf.DUMMYFUNCTION("""COMPUTED_VALUE"""),5.1698513E7)</f>
        <v>51698513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IFERROR(__xludf.DUMMYFUNCTION("""COMPUTED_VALUE"""),177.04)</f>
        <v>177.04</v>
      </c>
      <c r="C409" s="2">
        <f>IFERROR(__xludf.DUMMYFUNCTION("""COMPUTED_VALUE"""),178.34)</f>
        <v>178.34</v>
      </c>
      <c r="D409" s="2">
        <f>IFERROR(__xludf.DUMMYFUNCTION("""COMPUTED_VALUE"""),176.26)</f>
        <v>176.26</v>
      </c>
      <c r="E409" s="2">
        <f>IFERROR(__xludf.DUMMYFUNCTION("""COMPUTED_VALUE"""),177.06)</f>
        <v>177.06</v>
      </c>
      <c r="F409" s="2">
        <f>IFERROR(__xludf.DUMMYFUNCTION("""COMPUTED_VALUE"""),3.1489175E7)</f>
        <v>31489175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IFERROR(__xludf.DUMMYFUNCTION("""COMPUTED_VALUE"""),177.64)</f>
        <v>177.64</v>
      </c>
      <c r="C410" s="2">
        <f>IFERROR(__xludf.DUMMYFUNCTION("""COMPUTED_VALUE"""),178.3)</f>
        <v>178.3</v>
      </c>
      <c r="D410" s="2">
        <f>IFERROR(__xludf.DUMMYFUNCTION("""COMPUTED_VALUE"""),176.16)</f>
        <v>176.16</v>
      </c>
      <c r="E410" s="2">
        <f>IFERROR(__xludf.DUMMYFUNCTION("""COMPUTED_VALUE"""),178.22)</f>
        <v>178.22</v>
      </c>
      <c r="F410" s="2">
        <f>IFERROR(__xludf.DUMMYFUNCTION("""COMPUTED_VALUE"""),3.1129807E7)</f>
        <v>31129807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IFERROR(__xludf.DUMMYFUNCTION("""COMPUTED_VALUE"""),177.92)</f>
        <v>177.92</v>
      </c>
      <c r="C411" s="2">
        <f>IFERROR(__xludf.DUMMYFUNCTION("""COMPUTED_VALUE"""),179.01)</f>
        <v>179.01</v>
      </c>
      <c r="D411" s="2">
        <f>IFERROR(__xludf.DUMMYFUNCTION("""COMPUTED_VALUE"""),177.43)</f>
        <v>177.43</v>
      </c>
      <c r="E411" s="2">
        <f>IFERROR(__xludf.DUMMYFUNCTION("""COMPUTED_VALUE"""),178.88)</f>
        <v>178.88</v>
      </c>
      <c r="F411" s="2">
        <f>IFERROR(__xludf.DUMMYFUNCTION("""COMPUTED_VALUE"""),2.6255204E7)</f>
        <v>26255204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IFERROR(__xludf.DUMMYFUNCTION("""COMPUTED_VALUE"""),179.92)</f>
        <v>179.92</v>
      </c>
      <c r="C412" s="2">
        <f>IFERROR(__xludf.DUMMYFUNCTION("""COMPUTED_VALUE"""),182.39)</f>
        <v>182.39</v>
      </c>
      <c r="D412" s="2">
        <f>IFERROR(__xludf.DUMMYFUNCTION("""COMPUTED_VALUE"""),178.89)</f>
        <v>178.89</v>
      </c>
      <c r="E412" s="2">
        <f>IFERROR(__xludf.DUMMYFUNCTION("""COMPUTED_VALUE"""),180.11)</f>
        <v>180.11</v>
      </c>
      <c r="F412" s="2">
        <f>IFERROR(__xludf.DUMMYFUNCTION("""COMPUTED_VALUE"""),3.559912E7)</f>
        <v>35599120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IFERROR(__xludf.DUMMYFUNCTION("""COMPUTED_VALUE"""),181.38)</f>
        <v>181.38</v>
      </c>
      <c r="C413" s="2">
        <f>IFERROR(__xludf.DUMMYFUNCTION("""COMPUTED_VALUE"""),181.47)</f>
        <v>181.47</v>
      </c>
      <c r="D413" s="2">
        <f>IFERROR(__xludf.DUMMYFUNCTION("""COMPUTED_VALUE"""),175.68)</f>
        <v>175.68</v>
      </c>
      <c r="E413" s="2">
        <f>IFERROR(__xludf.DUMMYFUNCTION("""COMPUTED_VALUE"""),176.13)</f>
        <v>176.13</v>
      </c>
      <c r="F413" s="2">
        <f>IFERROR(__xludf.DUMMYFUNCTION("""COMPUTED_VALUE"""),3.2047482E7)</f>
        <v>32047482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IFERROR(__xludf.DUMMYFUNCTION("""COMPUTED_VALUE"""),177.34)</f>
        <v>177.34</v>
      </c>
      <c r="C414" s="2">
        <f>IFERROR(__xludf.DUMMYFUNCTION("""COMPUTED_VALUE"""),178.97)</f>
        <v>178.97</v>
      </c>
      <c r="D414" s="2">
        <f>IFERROR(__xludf.DUMMYFUNCTION("""COMPUTED_VALUE"""),175.24)</f>
        <v>175.24</v>
      </c>
      <c r="E414" s="2">
        <f>IFERROR(__xludf.DUMMYFUNCTION("""COMPUTED_VALUE"""),177.04)</f>
        <v>177.04</v>
      </c>
      <c r="F414" s="2">
        <f>IFERROR(__xludf.DUMMYFUNCTION("""COMPUTED_VALUE"""),2.9150091E7)</f>
        <v>29150091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IFERROR(__xludf.DUMMYFUNCTION("""COMPUTED_VALUE"""),176.7)</f>
        <v>176.7</v>
      </c>
      <c r="C415" s="2">
        <f>IFERROR(__xludf.DUMMYFUNCTION("""COMPUTED_VALUE"""),177.47)</f>
        <v>177.47</v>
      </c>
      <c r="D415" s="2">
        <f>IFERROR(__xludf.DUMMYFUNCTION("""COMPUTED_VALUE"""),174.3)</f>
        <v>174.3</v>
      </c>
      <c r="E415" s="2">
        <f>IFERROR(__xludf.DUMMYFUNCTION("""COMPUTED_VALUE"""),175.5)</f>
        <v>175.5</v>
      </c>
      <c r="F415" s="2">
        <f>IFERROR(__xludf.DUMMYFUNCTION("""COMPUTED_VALUE"""),2.2366236E7)</f>
        <v>22366236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IFERROR(__xludf.DUMMYFUNCTION("""COMPUTED_VALUE"""),174.15)</f>
        <v>174.15</v>
      </c>
      <c r="C416" s="2">
        <f>IFERROR(__xludf.DUMMYFUNCTION("""COMPUTED_VALUE"""),174.89)</f>
        <v>174.89</v>
      </c>
      <c r="D416" s="2">
        <f>IFERROR(__xludf.DUMMYFUNCTION("""COMPUTED_VALUE"""),172.25)</f>
        <v>172.25</v>
      </c>
      <c r="E416" s="2">
        <f>IFERROR(__xludf.DUMMYFUNCTION("""COMPUTED_VALUE"""),173.12)</f>
        <v>173.12</v>
      </c>
      <c r="F416" s="2">
        <f>IFERROR(__xludf.DUMMYFUNCTION("""COMPUTED_VALUE"""),2.9841979E7)</f>
        <v>29841979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IFERROR(__xludf.DUMMYFUNCTION("""COMPUTED_VALUE"""),173.69)</f>
        <v>173.69</v>
      </c>
      <c r="C417" s="2">
        <f>IFERROR(__xludf.DUMMYFUNCTION("""COMPUTED_VALUE"""),173.69)</f>
        <v>173.69</v>
      </c>
      <c r="D417" s="2">
        <f>IFERROR(__xludf.DUMMYFUNCTION("""COMPUTED_VALUE"""),168.92)</f>
        <v>168.92</v>
      </c>
      <c r="E417" s="2">
        <f>IFERROR(__xludf.DUMMYFUNCTION("""COMPUTED_VALUE"""),170.8)</f>
        <v>170.8</v>
      </c>
      <c r="F417" s="2">
        <f>IFERROR(__xludf.DUMMYFUNCTION("""COMPUTED_VALUE"""),2.9045025E7)</f>
        <v>29045025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IFERROR(__xludf.DUMMYFUNCTION("""COMPUTED_VALUE"""),173.22)</f>
        <v>173.22</v>
      </c>
      <c r="C418" s="2">
        <f>IFERROR(__xludf.DUMMYFUNCTION("""COMPUTED_VALUE"""),174.29)</f>
        <v>174.29</v>
      </c>
      <c r="D418" s="2">
        <f>IFERROR(__xludf.DUMMYFUNCTION("""COMPUTED_VALUE"""),170.81)</f>
        <v>170.81</v>
      </c>
      <c r="E418" s="2">
        <f>IFERROR(__xludf.DUMMYFUNCTION("""COMPUTED_VALUE"""),172.12)</f>
        <v>172.12</v>
      </c>
      <c r="F418" s="2">
        <f>IFERROR(__xludf.DUMMYFUNCTION("""COMPUTED_VALUE"""),2.6407815E7)</f>
        <v>26407815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IFERROR(__xludf.DUMMYFUNCTION("""COMPUTED_VALUE"""),172.78)</f>
        <v>172.78</v>
      </c>
      <c r="C419" s="2">
        <f>IFERROR(__xludf.DUMMYFUNCTION("""COMPUTED_VALUE"""),178.9)</f>
        <v>178.9</v>
      </c>
      <c r="D419" s="2">
        <f>IFERROR(__xludf.DUMMYFUNCTION("""COMPUTED_VALUE"""),172.6)</f>
        <v>172.6</v>
      </c>
      <c r="E419" s="2">
        <f>IFERROR(__xludf.DUMMYFUNCTION("""COMPUTED_VALUE"""),178.5)</f>
        <v>178.5</v>
      </c>
      <c r="F419" s="2">
        <f>IFERROR(__xludf.DUMMYFUNCTION("""COMPUTED_VALUE"""),4.3429355E7)</f>
        <v>43429355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IFERROR(__xludf.DUMMYFUNCTION("""COMPUTED_VALUE"""),177.55)</f>
        <v>177.55</v>
      </c>
      <c r="C420" s="2">
        <f>IFERROR(__xludf.DUMMYFUNCTION("""COMPUTED_VALUE"""),178.26)</f>
        <v>178.26</v>
      </c>
      <c r="D420" s="2">
        <f>IFERROR(__xludf.DUMMYFUNCTION("""COMPUTED_VALUE"""),175.26)</f>
        <v>175.26</v>
      </c>
      <c r="E420" s="2">
        <f>IFERROR(__xludf.DUMMYFUNCTION("""COMPUTED_VALUE"""),176.25)</f>
        <v>176.25</v>
      </c>
      <c r="F420" s="2">
        <f>IFERROR(__xludf.DUMMYFUNCTION("""COMPUTED_VALUE"""),3.7817511E7)</f>
        <v>37817511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IFERROR(__xludf.DUMMYFUNCTION("""COMPUTED_VALUE"""),174.48)</f>
        <v>174.48</v>
      </c>
      <c r="C421" s="2">
        <f>IFERROR(__xludf.DUMMYFUNCTION("""COMPUTED_VALUE"""),175.98)</f>
        <v>175.98</v>
      </c>
      <c r="D421" s="2">
        <f>IFERROR(__xludf.DUMMYFUNCTION("""COMPUTED_VALUE"""),172.54)</f>
        <v>172.54</v>
      </c>
      <c r="E421" s="2">
        <f>IFERROR(__xludf.DUMMYFUNCTION("""COMPUTED_VALUE"""),173.33)</f>
        <v>173.33</v>
      </c>
      <c r="F421" s="2">
        <f>IFERROR(__xludf.DUMMYFUNCTION("""COMPUTED_VALUE"""),3.0309225E7)</f>
        <v>30309225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IFERROR(__xludf.DUMMYFUNCTION("""COMPUTED_VALUE"""),175.0)</f>
        <v>175</v>
      </c>
      <c r="C422" s="2">
        <f>IFERROR(__xludf.DUMMYFUNCTION("""COMPUTED_VALUE"""),179.88)</f>
        <v>179.88</v>
      </c>
      <c r="D422" s="2">
        <f>IFERROR(__xludf.DUMMYFUNCTION("""COMPUTED_VALUE"""),175.0)</f>
        <v>175</v>
      </c>
      <c r="E422" s="2">
        <f>IFERROR(__xludf.DUMMYFUNCTION("""COMPUTED_VALUE"""),177.89)</f>
        <v>177.89</v>
      </c>
      <c r="F422" s="2">
        <f>IFERROR(__xludf.DUMMYFUNCTION("""COMPUTED_VALUE"""),4.0170526E7)</f>
        <v>40170526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IFERROR(__xludf.DUMMYFUNCTION("""COMPUTED_VALUE"""),177.24)</f>
        <v>177.24</v>
      </c>
      <c r="C423" s="2">
        <f>IFERROR(__xludf.DUMMYFUNCTION("""COMPUTED_VALUE"""),178.38)</f>
        <v>178.38</v>
      </c>
      <c r="D423" s="2">
        <f>IFERROR(__xludf.DUMMYFUNCTION("""COMPUTED_VALUE"""),171.16)</f>
        <v>171.16</v>
      </c>
      <c r="E423" s="2">
        <f>IFERROR(__xludf.DUMMYFUNCTION("""COMPUTED_VALUE"""),171.39)</f>
        <v>171.39</v>
      </c>
      <c r="F423" s="2">
        <f>IFERROR(__xludf.DUMMYFUNCTION("""COMPUTED_VALUE"""),4.1466537E7)</f>
        <v>41466537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IFERROR(__xludf.DUMMYFUNCTION("""COMPUTED_VALUE"""),174.53)</f>
        <v>174.53</v>
      </c>
      <c r="C424" s="2">
        <f>IFERROR(__xludf.DUMMYFUNCTION("""COMPUTED_VALUE"""),175.85)</f>
        <v>175.85</v>
      </c>
      <c r="D424" s="2">
        <f>IFERROR(__xludf.DUMMYFUNCTION("""COMPUTED_VALUE"""),173.51)</f>
        <v>173.51</v>
      </c>
      <c r="E424" s="2">
        <f>IFERROR(__xludf.DUMMYFUNCTION("""COMPUTED_VALUE"""),175.4)</f>
        <v>175.4</v>
      </c>
      <c r="F424" s="2">
        <f>IFERROR(__xludf.DUMMYFUNCTION("""COMPUTED_VALUE"""),2.9037362E7)</f>
        <v>29037362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IFERROR(__xludf.DUMMYFUNCTION("""COMPUTED_VALUE"""),177.49)</f>
        <v>177.49</v>
      </c>
      <c r="C425" s="2">
        <f>IFERROR(__xludf.DUMMYFUNCTION("""COMPUTED_VALUE"""),180.5)</f>
        <v>180.5</v>
      </c>
      <c r="D425" s="2">
        <f>IFERROR(__xludf.DUMMYFUNCTION("""COMPUTED_VALUE"""),176.79)</f>
        <v>176.79</v>
      </c>
      <c r="E425" s="2">
        <f>IFERROR(__xludf.DUMMYFUNCTION("""COMPUTED_VALUE"""),179.55)</f>
        <v>179.55</v>
      </c>
      <c r="F425" s="2">
        <f>IFERROR(__xludf.DUMMYFUNCTION("""COMPUTED_VALUE"""),3.6233796E7)</f>
        <v>36233796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IFERROR(__xludf.DUMMYFUNCTION("""COMPUTED_VALUE"""),180.1)</f>
        <v>180.1</v>
      </c>
      <c r="C426" s="2">
        <f>IFERROR(__xludf.DUMMYFUNCTION("""COMPUTED_VALUE"""),184.99)</f>
        <v>184.99</v>
      </c>
      <c r="D426" s="2">
        <f>IFERROR(__xludf.DUMMYFUNCTION("""COMPUTED_VALUE"""),175.73)</f>
        <v>175.73</v>
      </c>
      <c r="E426" s="2">
        <f>IFERROR(__xludf.DUMMYFUNCTION("""COMPUTED_VALUE"""),184.52)</f>
        <v>184.52</v>
      </c>
      <c r="F426" s="2">
        <f>IFERROR(__xludf.DUMMYFUNCTION("""COMPUTED_VALUE"""),4.2564698E7)</f>
        <v>42564698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IFERROR(__xludf.DUMMYFUNCTION("""COMPUTED_VALUE"""),184.8)</f>
        <v>184.8</v>
      </c>
      <c r="C427" s="2">
        <f>IFERROR(__xludf.DUMMYFUNCTION("""COMPUTED_VALUE"""),187.41)</f>
        <v>187.41</v>
      </c>
      <c r="D427" s="2">
        <f>IFERROR(__xludf.DUMMYFUNCTION("""COMPUTED_VALUE"""),183.54)</f>
        <v>183.54</v>
      </c>
      <c r="E427" s="2">
        <f>IFERROR(__xludf.DUMMYFUNCTION("""COMPUTED_VALUE"""),187.0)</f>
        <v>187</v>
      </c>
      <c r="F427" s="2">
        <f>IFERROR(__xludf.DUMMYFUNCTION("""COMPUTED_VALUE"""),3.3622483E7)</f>
        <v>33622483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IFERROR(__xludf.DUMMYFUNCTION("""COMPUTED_VALUE"""),187.0)</f>
        <v>187</v>
      </c>
      <c r="C428" s="2">
        <f>IFERROR(__xludf.DUMMYFUNCTION("""COMPUTED_VALUE"""),188.5)</f>
        <v>188.5</v>
      </c>
      <c r="D428" s="2">
        <f>IFERROR(__xludf.DUMMYFUNCTION("""COMPUTED_VALUE"""),185.91)</f>
        <v>185.91</v>
      </c>
      <c r="E428" s="2">
        <f>IFERROR(__xludf.DUMMYFUNCTION("""COMPUTED_VALUE"""),186.49)</f>
        <v>186.49</v>
      </c>
      <c r="F428" s="2">
        <f>IFERROR(__xludf.DUMMYFUNCTION("""COMPUTED_VALUE"""),2.6495351E7)</f>
        <v>26495351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IFERROR(__xludf.DUMMYFUNCTION("""COMPUTED_VALUE"""),185.29)</f>
        <v>185.29</v>
      </c>
      <c r="C429" s="2">
        <f>IFERROR(__xludf.DUMMYFUNCTION("""COMPUTED_VALUE"""),185.81)</f>
        <v>185.81</v>
      </c>
      <c r="D429" s="2">
        <f>IFERROR(__xludf.DUMMYFUNCTION("""COMPUTED_VALUE"""),183.36)</f>
        <v>183.36</v>
      </c>
      <c r="E429" s="2">
        <f>IFERROR(__xludf.DUMMYFUNCTION("""COMPUTED_VALUE"""),184.89)</f>
        <v>184.89</v>
      </c>
      <c r="F429" s="2">
        <f>IFERROR(__xludf.DUMMYFUNCTION("""COMPUTED_VALUE"""),2.6065485E7)</f>
        <v>26065485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IFERROR(__xludf.DUMMYFUNCTION("""COMPUTED_VALUE"""),186.85)</f>
        <v>186.85</v>
      </c>
      <c r="C430" s="2">
        <f>IFERROR(__xludf.DUMMYFUNCTION("""COMPUTED_VALUE"""),189.45)</f>
        <v>189.45</v>
      </c>
      <c r="D430" s="2">
        <f>IFERROR(__xludf.DUMMYFUNCTION("""COMPUTED_VALUE"""),186.14)</f>
        <v>186.14</v>
      </c>
      <c r="E430" s="2">
        <f>IFERROR(__xludf.DUMMYFUNCTION("""COMPUTED_VALUE"""),186.88)</f>
        <v>186.88</v>
      </c>
      <c r="F430" s="2">
        <f>IFERROR(__xludf.DUMMYFUNCTION("""COMPUTED_VALUE"""),2.6091682E7)</f>
        <v>26091682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IFERROR(__xludf.DUMMYFUNCTION("""COMPUTED_VALUE"""),186.45)</f>
        <v>186.45</v>
      </c>
      <c r="C431" s="2">
        <f>IFERROR(__xludf.DUMMYFUNCTION("""COMPUTED_VALUE"""),188.8)</f>
        <v>188.8</v>
      </c>
      <c r="D431" s="2">
        <f>IFERROR(__xludf.DUMMYFUNCTION("""COMPUTED_VALUE"""),185.06)</f>
        <v>185.06</v>
      </c>
      <c r="E431" s="2">
        <f>IFERROR(__xludf.DUMMYFUNCTION("""COMPUTED_VALUE"""),186.43)</f>
        <v>186.43</v>
      </c>
      <c r="F431" s="2">
        <f>IFERROR(__xludf.DUMMYFUNCTION("""COMPUTED_VALUE"""),3.444813E7)</f>
        <v>34448130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IFERROR(__xludf.DUMMYFUNCTION("""COMPUTED_VALUE"""),190.04)</f>
        <v>190.04</v>
      </c>
      <c r="C432" s="2">
        <f>IFERROR(__xludf.DUMMYFUNCTION("""COMPUTED_VALUE"""),190.99)</f>
        <v>190.99</v>
      </c>
      <c r="D432" s="2">
        <f>IFERROR(__xludf.DUMMYFUNCTION("""COMPUTED_VALUE"""),188.47)</f>
        <v>188.47</v>
      </c>
      <c r="E432" s="2">
        <f>IFERROR(__xludf.DUMMYFUNCTION("""COMPUTED_VALUE"""),189.87)</f>
        <v>189.87</v>
      </c>
      <c r="F432" s="2">
        <f>IFERROR(__xludf.DUMMYFUNCTION("""COMPUTED_VALUE"""),3.9543168E7)</f>
        <v>39543168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IFERROR(__xludf.DUMMYFUNCTION("""COMPUTED_VALUE"""),190.23)</f>
        <v>190.23</v>
      </c>
      <c r="C433" s="2">
        <f>IFERROR(__xludf.DUMMYFUNCTION("""COMPUTED_VALUE"""),191.84)</f>
        <v>191.84</v>
      </c>
      <c r="D433" s="2">
        <f>IFERROR(__xludf.DUMMYFUNCTION("""COMPUTED_VALUE"""),187.41)</f>
        <v>187.41</v>
      </c>
      <c r="E433" s="2">
        <f>IFERROR(__xludf.DUMMYFUNCTION("""COMPUTED_VALUE"""),191.6)</f>
        <v>191.6</v>
      </c>
      <c r="F433" s="2">
        <f>IFERROR(__xludf.DUMMYFUNCTION("""COMPUTED_VALUE"""),1.00378553E8)</f>
        <v>100378553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IFERROR(__xludf.DUMMYFUNCTION("""COMPUTED_VALUE"""),191.64)</f>
        <v>191.64</v>
      </c>
      <c r="C434" s="2">
        <f>IFERROR(__xludf.DUMMYFUNCTION("""COMPUTED_VALUE"""),194.45)</f>
        <v>194.45</v>
      </c>
      <c r="D434" s="2">
        <f>IFERROR(__xludf.DUMMYFUNCTION("""COMPUTED_VALUE"""),190.57)</f>
        <v>190.57</v>
      </c>
      <c r="E434" s="2">
        <f>IFERROR(__xludf.DUMMYFUNCTION("""COMPUTED_VALUE"""),193.88)</f>
        <v>193.88</v>
      </c>
      <c r="F434" s="2">
        <f>IFERROR(__xludf.DUMMYFUNCTION("""COMPUTED_VALUE"""),3.6993111E7)</f>
        <v>36993111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IFERROR(__xludf.DUMMYFUNCTION("""COMPUTED_VALUE"""),194.27)</f>
        <v>194.27</v>
      </c>
      <c r="C435" s="2">
        <f>IFERROR(__xludf.DUMMYFUNCTION("""COMPUTED_VALUE"""),195.37)</f>
        <v>195.37</v>
      </c>
      <c r="D435" s="2">
        <f>IFERROR(__xludf.DUMMYFUNCTION("""COMPUTED_VALUE"""),190.13)</f>
        <v>190.13</v>
      </c>
      <c r="E435" s="2">
        <f>IFERROR(__xludf.DUMMYFUNCTION("""COMPUTED_VALUE"""),193.96)</f>
        <v>193.96</v>
      </c>
      <c r="F435" s="2">
        <f>IFERROR(__xludf.DUMMYFUNCTION("""COMPUTED_VALUE"""),4.3478926E7)</f>
        <v>43478926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IFERROR(__xludf.DUMMYFUNCTION("""COMPUTED_VALUE"""),193.75)</f>
        <v>193.75</v>
      </c>
      <c r="C436" s="2">
        <f>IFERROR(__xludf.DUMMYFUNCTION("""COMPUTED_VALUE"""),193.95)</f>
        <v>193.95</v>
      </c>
      <c r="D436" s="2">
        <f>IFERROR(__xludf.DUMMYFUNCTION("""COMPUTED_VALUE"""),192.16)</f>
        <v>192.16</v>
      </c>
      <c r="E436" s="2">
        <f>IFERROR(__xludf.DUMMYFUNCTION("""COMPUTED_VALUE"""),192.53)</f>
        <v>192.53</v>
      </c>
      <c r="F436" s="2">
        <f>IFERROR(__xludf.DUMMYFUNCTION("""COMPUTED_VALUE"""),2.6391144E7)</f>
        <v>26391144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IFERROR(__xludf.DUMMYFUNCTION("""COMPUTED_VALUE"""),194.31)</f>
        <v>194.31</v>
      </c>
      <c r="C437" s="2">
        <f>IFERROR(__xludf.DUMMYFUNCTION("""COMPUTED_VALUE"""),194.53)</f>
        <v>194.53</v>
      </c>
      <c r="D437" s="2">
        <f>IFERROR(__xludf.DUMMYFUNCTION("""COMPUTED_VALUE"""),189.54)</f>
        <v>189.54</v>
      </c>
      <c r="E437" s="2">
        <f>IFERROR(__xludf.DUMMYFUNCTION("""COMPUTED_VALUE"""),191.16)</f>
        <v>191.16</v>
      </c>
      <c r="F437" s="2">
        <f>IFERROR(__xludf.DUMMYFUNCTION("""COMPUTED_VALUE"""),3.6334854E7)</f>
        <v>36334854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IFERROR(__xludf.DUMMYFUNCTION("""COMPUTED_VALUE"""),190.68)</f>
        <v>190.68</v>
      </c>
      <c r="C438" s="2">
        <f>IFERROR(__xludf.DUMMYFUNCTION("""COMPUTED_VALUE"""),190.9)</f>
        <v>190.9</v>
      </c>
      <c r="D438" s="2">
        <f>IFERROR(__xludf.DUMMYFUNCTION("""COMPUTED_VALUE"""),187.34)</f>
        <v>187.34</v>
      </c>
      <c r="E438" s="2">
        <f>IFERROR(__xludf.DUMMYFUNCTION("""COMPUTED_VALUE"""),187.97)</f>
        <v>187.97</v>
      </c>
      <c r="F438" s="2">
        <f>IFERROR(__xludf.DUMMYFUNCTION("""COMPUTED_VALUE"""),3.6002316E7)</f>
        <v>36002316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IFERROR(__xludf.DUMMYFUNCTION("""COMPUTED_VALUE"""),187.14)</f>
        <v>187.14</v>
      </c>
      <c r="C439" s="2">
        <f>IFERROR(__xludf.DUMMYFUNCTION("""COMPUTED_VALUE"""),188.49)</f>
        <v>188.49</v>
      </c>
      <c r="D439" s="2">
        <f>IFERROR(__xludf.DUMMYFUNCTION("""COMPUTED_VALUE"""),184.65)</f>
        <v>184.65</v>
      </c>
      <c r="E439" s="2">
        <f>IFERROR(__xludf.DUMMYFUNCTION("""COMPUTED_VALUE"""),186.33)</f>
        <v>186.33</v>
      </c>
      <c r="F439" s="2">
        <f>IFERROR(__xludf.DUMMYFUNCTION("""COMPUTED_VALUE"""),4.16804E7)</f>
        <v>41680400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IFERROR(__xludf.DUMMYFUNCTION("""COMPUTED_VALUE"""),184.9)</f>
        <v>184.9</v>
      </c>
      <c r="C440" s="2">
        <f>IFERROR(__xludf.DUMMYFUNCTION("""COMPUTED_VALUE"""),186.19)</f>
        <v>186.19</v>
      </c>
      <c r="D440" s="2">
        <f>IFERROR(__xludf.DUMMYFUNCTION("""COMPUTED_VALUE"""),183.45)</f>
        <v>183.45</v>
      </c>
      <c r="E440" s="2">
        <f>IFERROR(__xludf.DUMMYFUNCTION("""COMPUTED_VALUE"""),185.13)</f>
        <v>185.13</v>
      </c>
      <c r="F440" s="2">
        <f>IFERROR(__xludf.DUMMYFUNCTION("""COMPUTED_VALUE"""),3.6044906E7)</f>
        <v>36044906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IFERROR(__xludf.DUMMYFUNCTION("""COMPUTED_VALUE"""),184.44)</f>
        <v>184.44</v>
      </c>
      <c r="C441" s="2">
        <f>IFERROR(__xludf.DUMMYFUNCTION("""COMPUTED_VALUE"""),186.6)</f>
        <v>186.6</v>
      </c>
      <c r="D441" s="2">
        <f>IFERROR(__xludf.DUMMYFUNCTION("""COMPUTED_VALUE"""),184.04)</f>
        <v>184.04</v>
      </c>
      <c r="E441" s="2">
        <f>IFERROR(__xludf.DUMMYFUNCTION("""COMPUTED_VALUE"""),184.76)</f>
        <v>184.76</v>
      </c>
      <c r="F441" s="2">
        <f>IFERROR(__xludf.DUMMYFUNCTION("""COMPUTED_VALUE"""),2.3704056E7)</f>
        <v>23704056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IFERROR(__xludf.DUMMYFUNCTION("""COMPUTED_VALUE"""),183.05)</f>
        <v>183.05</v>
      </c>
      <c r="C442" s="2">
        <f>IFERROR(__xludf.DUMMYFUNCTION("""COMPUTED_VALUE"""),183.44)</f>
        <v>183.44</v>
      </c>
      <c r="D442" s="2">
        <f>IFERROR(__xludf.DUMMYFUNCTION("""COMPUTED_VALUE"""),180.88)</f>
        <v>180.88</v>
      </c>
      <c r="E442" s="2">
        <f>IFERROR(__xludf.DUMMYFUNCTION("""COMPUTED_VALUE"""),181.96)</f>
        <v>181.96</v>
      </c>
      <c r="F442" s="2">
        <f>IFERROR(__xludf.DUMMYFUNCTION("""COMPUTED_VALUE"""),3.0204302E7)</f>
        <v>30204302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IFERROR(__xludf.DUMMYFUNCTION("""COMPUTED_VALUE"""),185.75)</f>
        <v>185.75</v>
      </c>
      <c r="C443" s="2">
        <f>IFERROR(__xludf.DUMMYFUNCTION("""COMPUTED_VALUE"""),187.6)</f>
        <v>187.6</v>
      </c>
      <c r="D443" s="2">
        <f>IFERROR(__xludf.DUMMYFUNCTION("""COMPUTED_VALUE"""),183.6)</f>
        <v>183.6</v>
      </c>
      <c r="E443" s="2">
        <f>IFERROR(__xludf.DUMMYFUNCTION("""COMPUTED_VALUE"""),186.51)</f>
        <v>186.51</v>
      </c>
      <c r="F443" s="2">
        <f>IFERROR(__xludf.DUMMYFUNCTION("""COMPUTED_VALUE"""),4.1079011E7)</f>
        <v>41079011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IFERROR(__xludf.DUMMYFUNCTION("""COMPUTED_VALUE"""),182.95)</f>
        <v>182.95</v>
      </c>
      <c r="C444" s="2">
        <f>IFERROR(__xludf.DUMMYFUNCTION("""COMPUTED_VALUE"""),183.6)</f>
        <v>183.6</v>
      </c>
      <c r="D444" s="2">
        <f>IFERROR(__xludf.DUMMYFUNCTION("""COMPUTED_VALUE"""),180.25)</f>
        <v>180.25</v>
      </c>
      <c r="E444" s="2">
        <f>IFERROR(__xludf.DUMMYFUNCTION("""COMPUTED_VALUE"""),180.8)</f>
        <v>180.8</v>
      </c>
      <c r="F444" s="2">
        <f>IFERROR(__xludf.DUMMYFUNCTION("""COMPUTED_VALUE"""),4.2364201E7)</f>
        <v>42364201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IFERROR(__xludf.DUMMYFUNCTION("""COMPUTED_VALUE"""),181.92)</f>
        <v>181.92</v>
      </c>
      <c r="C445" s="2">
        <f>IFERROR(__xludf.DUMMYFUNCTION("""COMPUTED_VALUE"""),183.09)</f>
        <v>183.09</v>
      </c>
      <c r="D445" s="2">
        <f>IFERROR(__xludf.DUMMYFUNCTION("""COMPUTED_VALUE"""),180.92)</f>
        <v>180.92</v>
      </c>
      <c r="E445" s="2">
        <f>IFERROR(__xludf.DUMMYFUNCTION("""COMPUTED_VALUE"""),182.72)</f>
        <v>182.72</v>
      </c>
      <c r="F445" s="2">
        <f>IFERROR(__xludf.DUMMYFUNCTION("""COMPUTED_VALUE"""),2.6372086E7)</f>
        <v>26372086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IFERROR(__xludf.DUMMYFUNCTION("""COMPUTED_VALUE"""),182.82)</f>
        <v>182.82</v>
      </c>
      <c r="C446" s="2">
        <f>IFERROR(__xludf.DUMMYFUNCTION("""COMPUTED_VALUE"""),185.85)</f>
        <v>185.85</v>
      </c>
      <c r="D446" s="2">
        <f>IFERROR(__xludf.DUMMYFUNCTION("""COMPUTED_VALUE"""),182.05)</f>
        <v>182.05</v>
      </c>
      <c r="E446" s="2">
        <f>IFERROR(__xludf.DUMMYFUNCTION("""COMPUTED_VALUE"""),185.17)</f>
        <v>185.17</v>
      </c>
      <c r="F446" s="2">
        <f>IFERROR(__xludf.DUMMYFUNCTION("""COMPUTED_VALUE"""),2.6343117E7)</f>
        <v>26343117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IFERROR(__xludf.DUMMYFUNCTION("""COMPUTED_VALUE"""),187.13)</f>
        <v>187.13</v>
      </c>
      <c r="C447" s="2">
        <f>IFERROR(__xludf.DUMMYFUNCTION("""COMPUTED_VALUE"""),188.13)</f>
        <v>188.13</v>
      </c>
      <c r="D447" s="2">
        <f>IFERROR(__xludf.DUMMYFUNCTION("""COMPUTED_VALUE"""),185.83)</f>
        <v>185.83</v>
      </c>
      <c r="E447" s="2">
        <f>IFERROR(__xludf.DUMMYFUNCTION("""COMPUTED_VALUE"""),186.65)</f>
        <v>186.65</v>
      </c>
      <c r="F447" s="2">
        <f>IFERROR(__xludf.DUMMYFUNCTION("""COMPUTED_VALUE"""),2.7785043E7)</f>
        <v>27785043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IFERROR(__xludf.DUMMYFUNCTION("""COMPUTED_VALUE"""),186.63)</f>
        <v>186.63</v>
      </c>
      <c r="C448" s="2">
        <f>IFERROR(__xludf.DUMMYFUNCTION("""COMPUTED_VALUE"""),189.93)</f>
        <v>189.93</v>
      </c>
      <c r="D448" s="2">
        <f>IFERROR(__xludf.DUMMYFUNCTION("""COMPUTED_VALUE"""),186.3)</f>
        <v>186.3</v>
      </c>
      <c r="E448" s="2">
        <f>IFERROR(__xludf.DUMMYFUNCTION("""COMPUTED_VALUE"""),188.82)</f>
        <v>188.82</v>
      </c>
      <c r="F448" s="2">
        <f>IFERROR(__xludf.DUMMYFUNCTION("""COMPUTED_VALUE"""),2.5751557E7)</f>
        <v>25751557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IFERROR(__xludf.DUMMYFUNCTION("""COMPUTED_VALUE"""),189.78)</f>
        <v>189.78</v>
      </c>
      <c r="C449" s="2">
        <f>IFERROR(__xludf.DUMMYFUNCTION("""COMPUTED_VALUE"""),189.83)</f>
        <v>189.83</v>
      </c>
      <c r="D449" s="2">
        <f>IFERROR(__xludf.DUMMYFUNCTION("""COMPUTED_VALUE"""),187.36)</f>
        <v>187.36</v>
      </c>
      <c r="E449" s="2">
        <f>IFERROR(__xludf.DUMMYFUNCTION("""COMPUTED_VALUE"""),187.54)</f>
        <v>187.54</v>
      </c>
      <c r="F449" s="2">
        <f>IFERROR(__xludf.DUMMYFUNCTION("""COMPUTED_VALUE"""),2.2614407E7)</f>
        <v>22614407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IFERROR(__xludf.DUMMYFUNCTION("""COMPUTED_VALUE"""),187.63)</f>
        <v>187.63</v>
      </c>
      <c r="C450" s="2">
        <f>IFERROR(__xludf.DUMMYFUNCTION("""COMPUTED_VALUE"""),188.41)</f>
        <v>188.41</v>
      </c>
      <c r="D450" s="2">
        <f>IFERROR(__xludf.DUMMYFUNCTION("""COMPUTED_VALUE"""),184.58)</f>
        <v>184.58</v>
      </c>
      <c r="E450" s="2">
        <f>IFERROR(__xludf.DUMMYFUNCTION("""COMPUTED_VALUE"""),187.69)</f>
        <v>187.69</v>
      </c>
      <c r="F450" s="2">
        <f>IFERROR(__xludf.DUMMYFUNCTION("""COMPUTED_VALUE"""),3.2178925E7)</f>
        <v>32178925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IFERROR(__xludf.DUMMYFUNCTION("""COMPUTED_VALUE"""),187.05)</f>
        <v>187.05</v>
      </c>
      <c r="C451" s="2">
        <f>IFERROR(__xludf.DUMMYFUNCTION("""COMPUTED_VALUE"""),187.78)</f>
        <v>187.78</v>
      </c>
      <c r="D451" s="2">
        <f>IFERROR(__xludf.DUMMYFUNCTION("""COMPUTED_VALUE"""),185.61)</f>
        <v>185.61</v>
      </c>
      <c r="E451" s="2">
        <f>IFERROR(__xludf.DUMMYFUNCTION("""COMPUTED_VALUE"""),186.89)</f>
        <v>186.89</v>
      </c>
      <c r="F451" s="2">
        <f>IFERROR(__xludf.DUMMYFUNCTION("""COMPUTED_VALUE"""),2.3456812E7)</f>
        <v>23456812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IFERROR(__xludf.DUMMYFUNCTION("""COMPUTED_VALUE"""),188.22)</f>
        <v>188.22</v>
      </c>
      <c r="C452" s="2">
        <f>IFERROR(__xludf.DUMMYFUNCTION("""COMPUTED_VALUE"""),188.94)</f>
        <v>188.94</v>
      </c>
      <c r="D452" s="2">
        <f>IFERROR(__xludf.DUMMYFUNCTION("""COMPUTED_VALUE"""),186.0)</f>
        <v>186</v>
      </c>
      <c r="E452" s="2">
        <f>IFERROR(__xludf.DUMMYFUNCTION("""COMPUTED_VALUE"""),187.53)</f>
        <v>187.53</v>
      </c>
      <c r="F452" s="2">
        <f>IFERROR(__xludf.DUMMYFUNCTION("""COMPUTED_VALUE"""),2.5039414E7)</f>
        <v>25039414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IFERROR(__xludf.DUMMYFUNCTION("""COMPUTED_VALUE"""),187.15)</f>
        <v>187.15</v>
      </c>
      <c r="C453" s="2">
        <f>IFERROR(__xludf.DUMMYFUNCTION("""COMPUTED_VALUE"""),190.74)</f>
        <v>190.74</v>
      </c>
      <c r="D453" s="2">
        <f>IFERROR(__xludf.DUMMYFUNCTION("""COMPUTED_VALUE"""),186.28)</f>
        <v>186.28</v>
      </c>
      <c r="E453" s="2">
        <f>IFERROR(__xludf.DUMMYFUNCTION("""COMPUTED_VALUE"""),188.99)</f>
        <v>188.99</v>
      </c>
      <c r="F453" s="2">
        <f>IFERROR(__xludf.DUMMYFUNCTION("""COMPUTED_VALUE"""),3.741767E7)</f>
        <v>37417670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IFERROR(__xludf.DUMMYFUNCTION("""COMPUTED_VALUE"""),188.05)</f>
        <v>188.05</v>
      </c>
      <c r="C454" s="2">
        <f>IFERROR(__xludf.DUMMYFUNCTION("""COMPUTED_VALUE"""),189.46)</f>
        <v>189.46</v>
      </c>
      <c r="D454" s="2">
        <f>IFERROR(__xludf.DUMMYFUNCTION("""COMPUTED_VALUE"""),186.4)</f>
        <v>186.4</v>
      </c>
      <c r="E454" s="2">
        <f>IFERROR(__xludf.DUMMYFUNCTION("""COMPUTED_VALUE"""),189.07)</f>
        <v>189.07</v>
      </c>
      <c r="F454" s="2">
        <f>IFERROR(__xludf.DUMMYFUNCTION("""COMPUTED_VALUE"""),2.4639393E7)</f>
        <v>24639393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IFERROR(__xludf.DUMMYFUNCTION("""COMPUTED_VALUE"""),188.35)</f>
        <v>188.35</v>
      </c>
      <c r="C455" s="2">
        <f>IFERROR(__xludf.DUMMYFUNCTION("""COMPUTED_VALUE"""),191.52)</f>
        <v>191.52</v>
      </c>
      <c r="D455" s="2">
        <f>IFERROR(__xludf.DUMMYFUNCTION("""COMPUTED_VALUE"""),186.98)</f>
        <v>186.98</v>
      </c>
      <c r="E455" s="2">
        <f>IFERROR(__xludf.DUMMYFUNCTION("""COMPUTED_VALUE"""),189.7)</f>
        <v>189.7</v>
      </c>
      <c r="F455" s="2">
        <f>IFERROR(__xludf.DUMMYFUNCTION("""COMPUTED_VALUE"""),2.9650593E7)</f>
        <v>29650593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IFERROR(__xludf.DUMMYFUNCTION("""COMPUTED_VALUE"""),188.85)</f>
        <v>188.85</v>
      </c>
      <c r="C456" s="2">
        <f>IFERROR(__xludf.DUMMYFUNCTION("""COMPUTED_VALUE"""),189.16)</f>
        <v>189.16</v>
      </c>
      <c r="D456" s="2">
        <f>IFERROR(__xludf.DUMMYFUNCTION("""COMPUTED_VALUE"""),183.69)</f>
        <v>183.69</v>
      </c>
      <c r="E456" s="2">
        <f>IFERROR(__xludf.DUMMYFUNCTION("""COMPUTED_VALUE"""),184.71)</f>
        <v>184.71</v>
      </c>
      <c r="F456" s="2">
        <f>IFERROR(__xludf.DUMMYFUNCTION("""COMPUTED_VALUE"""),3.1937089E7)</f>
        <v>31937089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IFERROR(__xludf.DUMMYFUNCTION("""COMPUTED_VALUE"""),185.25)</f>
        <v>185.25</v>
      </c>
      <c r="C457" s="2">
        <f>IFERROR(__xludf.DUMMYFUNCTION("""COMPUTED_VALUE"""),187.11)</f>
        <v>187.11</v>
      </c>
      <c r="D457" s="2">
        <f>IFERROR(__xludf.DUMMYFUNCTION("""COMPUTED_VALUE"""),183.86)</f>
        <v>183.86</v>
      </c>
      <c r="E457" s="2">
        <f>IFERROR(__xludf.DUMMYFUNCTION("""COMPUTED_VALUE"""),186.38)</f>
        <v>186.38</v>
      </c>
      <c r="F457" s="2">
        <f>IFERROR(__xludf.DUMMYFUNCTION("""COMPUTED_VALUE"""),2.1647395E7)</f>
        <v>21647395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IFERROR(__xludf.DUMMYFUNCTION("""COMPUTED_VALUE"""),187.85)</f>
        <v>187.85</v>
      </c>
      <c r="C458" s="2">
        <f>IFERROR(__xludf.DUMMYFUNCTION("""COMPUTED_VALUE"""),190.45)</f>
        <v>190.45</v>
      </c>
      <c r="D458" s="2">
        <f>IFERROR(__xludf.DUMMYFUNCTION("""COMPUTED_VALUE"""),187.53)</f>
        <v>187.53</v>
      </c>
      <c r="E458" s="2">
        <f>IFERROR(__xludf.DUMMYFUNCTION("""COMPUTED_VALUE"""),187.83)</f>
        <v>187.83</v>
      </c>
      <c r="F458" s="2">
        <f>IFERROR(__xludf.DUMMYFUNCTION("""COMPUTED_VALUE"""),2.936206E7)</f>
        <v>29362060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IFERROR(__xludf.DUMMYFUNCTION("""COMPUTED_VALUE"""),189.57)</f>
        <v>189.57</v>
      </c>
      <c r="C459" s="2">
        <f>IFERROR(__xludf.DUMMYFUNCTION("""COMPUTED_VALUE"""),190.21)</f>
        <v>190.21</v>
      </c>
      <c r="D459" s="2">
        <f>IFERROR(__xludf.DUMMYFUNCTION("""COMPUTED_VALUE"""),188.21)</f>
        <v>188.21</v>
      </c>
      <c r="E459" s="2">
        <f>IFERROR(__xludf.DUMMYFUNCTION("""COMPUTED_VALUE"""),188.39)</f>
        <v>188.39</v>
      </c>
      <c r="F459" s="2">
        <f>IFERROR(__xludf.DUMMYFUNCTION("""COMPUTED_VALUE"""),2.7930836E7)</f>
        <v>27930836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IFERROR(__xludf.DUMMYFUNCTION("""COMPUTED_VALUE"""),188.58)</f>
        <v>188.58</v>
      </c>
      <c r="C460" s="2">
        <f>IFERROR(__xludf.DUMMYFUNCTION("""COMPUTED_VALUE"""),191.46)</f>
        <v>191.46</v>
      </c>
      <c r="D460" s="2">
        <f>IFERROR(__xludf.DUMMYFUNCTION("""COMPUTED_VALUE"""),187.82)</f>
        <v>187.82</v>
      </c>
      <c r="E460" s="2">
        <f>IFERROR(__xludf.DUMMYFUNCTION("""COMPUTED_VALUE"""),190.83)</f>
        <v>190.83</v>
      </c>
      <c r="F460" s="2">
        <f>IFERROR(__xludf.DUMMYFUNCTION("""COMPUTED_VALUE"""),3.5690158E7)</f>
        <v>35690158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IFERROR(__xludf.DUMMYFUNCTION("""COMPUTED_VALUE"""),194.7)</f>
        <v>194.7</v>
      </c>
      <c r="C461" s="2">
        <f>IFERROR(__xludf.DUMMYFUNCTION("""COMPUTED_VALUE"""),195.61)</f>
        <v>195.61</v>
      </c>
      <c r="D461" s="2">
        <f>IFERROR(__xludf.DUMMYFUNCTION("""COMPUTED_VALUE"""),192.42)</f>
        <v>192.42</v>
      </c>
      <c r="E461" s="2">
        <f>IFERROR(__xludf.DUMMYFUNCTION("""COMPUTED_VALUE"""),192.73)</f>
        <v>192.73</v>
      </c>
      <c r="F461" s="2">
        <f>IFERROR(__xludf.DUMMYFUNCTION("""COMPUTED_VALUE"""),3.770755E7)</f>
        <v>37707550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IFERROR(__xludf.DUMMYFUNCTION("""COMPUTED_VALUE"""),190.51)</f>
        <v>190.51</v>
      </c>
      <c r="C462" s="2">
        <f>IFERROR(__xludf.DUMMYFUNCTION("""COMPUTED_VALUE"""),190.6)</f>
        <v>190.6</v>
      </c>
      <c r="D462" s="2">
        <f>IFERROR(__xludf.DUMMYFUNCTION("""COMPUTED_VALUE"""),185.23)</f>
        <v>185.23</v>
      </c>
      <c r="E462" s="2">
        <f>IFERROR(__xludf.DUMMYFUNCTION("""COMPUTED_VALUE"""),186.4)</f>
        <v>186.4</v>
      </c>
      <c r="F462" s="2">
        <f>IFERROR(__xludf.DUMMYFUNCTION("""COMPUTED_VALUE"""),7.5146759E7)</f>
        <v>75146759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IFERROR(__xludf.DUMMYFUNCTION("""COMPUTED_VALUE"""),199.0)</f>
        <v>199</v>
      </c>
      <c r="C463" s="2">
        <f>IFERROR(__xludf.DUMMYFUNCTION("""COMPUTED_VALUE"""),200.5)</f>
        <v>200.5</v>
      </c>
      <c r="D463" s="2">
        <f>IFERROR(__xludf.DUMMYFUNCTION("""COMPUTED_VALUE"""),197.02)</f>
        <v>197.02</v>
      </c>
      <c r="E463" s="2">
        <f>IFERROR(__xludf.DUMMYFUNCTION("""COMPUTED_VALUE"""),197.93)</f>
        <v>197.93</v>
      </c>
      <c r="F463" s="2">
        <f>IFERROR(__xludf.DUMMYFUNCTION("""COMPUTED_VALUE"""),9.9687847E7)</f>
        <v>99687847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IFERROR(__xludf.DUMMYFUNCTION("""COMPUTED_VALUE"""),196.45)</f>
        <v>196.45</v>
      </c>
      <c r="C464" s="2">
        <f>IFERROR(__xludf.DUMMYFUNCTION("""COMPUTED_VALUE"""),197.33)</f>
        <v>197.33</v>
      </c>
      <c r="D464" s="2">
        <f>IFERROR(__xludf.DUMMYFUNCTION("""COMPUTED_VALUE"""),194.31)</f>
        <v>194.31</v>
      </c>
      <c r="E464" s="2">
        <f>IFERROR(__xludf.DUMMYFUNCTION("""COMPUTED_VALUE"""),195.78)</f>
        <v>195.78</v>
      </c>
      <c r="F464" s="2">
        <f>IFERROR(__xludf.DUMMYFUNCTION("""COMPUTED_VALUE"""),3.8492062E7)</f>
        <v>38492062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IFERROR(__xludf.DUMMYFUNCTION("""COMPUTED_VALUE"""),196.04)</f>
        <v>196.04</v>
      </c>
      <c r="C465" s="2">
        <f>IFERROR(__xludf.DUMMYFUNCTION("""COMPUTED_VALUE"""),199.82)</f>
        <v>199.82</v>
      </c>
      <c r="D465" s="2">
        <f>IFERROR(__xludf.DUMMYFUNCTION("""COMPUTED_VALUE"""),195.99)</f>
        <v>195.99</v>
      </c>
      <c r="E465" s="2">
        <f>IFERROR(__xludf.DUMMYFUNCTION("""COMPUTED_VALUE"""),199.5)</f>
        <v>199.5</v>
      </c>
      <c r="F465" s="2">
        <f>IFERROR(__xludf.DUMMYFUNCTION("""COMPUTED_VALUE"""),3.0564784E7)</f>
        <v>30564784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IFERROR(__xludf.DUMMYFUNCTION("""COMPUTED_VALUE"""),200.01)</f>
        <v>200.01</v>
      </c>
      <c r="C466" s="2">
        <f>IFERROR(__xludf.DUMMYFUNCTION("""COMPUTED_VALUE"""),207.55)</f>
        <v>207.55</v>
      </c>
      <c r="D466" s="2">
        <f>IFERROR(__xludf.DUMMYFUNCTION("""COMPUTED_VALUE"""),199.14)</f>
        <v>199.14</v>
      </c>
      <c r="E466" s="2">
        <f>IFERROR(__xludf.DUMMYFUNCTION("""COMPUTED_VALUE"""),207.09)</f>
        <v>207.09</v>
      </c>
      <c r="F466" s="2">
        <f>IFERROR(__xludf.DUMMYFUNCTION("""COMPUTED_VALUE"""),7.2292167E7)</f>
        <v>72292167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IFERROR(__xludf.DUMMYFUNCTION("""COMPUTED_VALUE"""),207.44)</f>
        <v>207.44</v>
      </c>
      <c r="C467" s="2">
        <f>IFERROR(__xludf.DUMMYFUNCTION("""COMPUTED_VALUE"""),212.25)</f>
        <v>212.25</v>
      </c>
      <c r="D467" s="2">
        <f>IFERROR(__xludf.DUMMYFUNCTION("""COMPUTED_VALUE"""),207.19)</f>
        <v>207.19</v>
      </c>
      <c r="E467" s="2">
        <f>IFERROR(__xludf.DUMMYFUNCTION("""COMPUTED_VALUE"""),210.05)</f>
        <v>210.05</v>
      </c>
      <c r="F467" s="2">
        <f>IFERROR(__xludf.DUMMYFUNCTION("""COMPUTED_VALUE"""),5.2878383E7)</f>
        <v>52878383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IFERROR(__xludf.DUMMYFUNCTION("""COMPUTED_VALUE"""),209.72)</f>
        <v>209.72</v>
      </c>
      <c r="C468" s="2">
        <f>IFERROR(__xludf.DUMMYFUNCTION("""COMPUTED_VALUE"""),209.96)</f>
        <v>209.96</v>
      </c>
      <c r="D468" s="2">
        <f>IFERROR(__xludf.DUMMYFUNCTION("""COMPUTED_VALUE"""),207.44)</f>
        <v>207.44</v>
      </c>
      <c r="E468" s="2">
        <f>IFERROR(__xludf.DUMMYFUNCTION("""COMPUTED_VALUE"""),208.18)</f>
        <v>208.18</v>
      </c>
      <c r="F468" s="2">
        <f>IFERROR(__xludf.DUMMYFUNCTION("""COMPUTED_VALUE"""),3.6075846E7)</f>
        <v>36075846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IFERROR(__xludf.DUMMYFUNCTION("""COMPUTED_VALUE"""),208.5)</f>
        <v>208.5</v>
      </c>
      <c r="C469" s="2">
        <f>IFERROR(__xludf.DUMMYFUNCTION("""COMPUTED_VALUE"""),209.65)</f>
        <v>209.65</v>
      </c>
      <c r="D469" s="2">
        <f>IFERROR(__xludf.DUMMYFUNCTION("""COMPUTED_VALUE"""),205.59)</f>
        <v>205.59</v>
      </c>
      <c r="E469" s="2">
        <f>IFERROR(__xludf.DUMMYFUNCTION("""COMPUTED_VALUE"""),206.84)</f>
        <v>206.84</v>
      </c>
      <c r="F469" s="2">
        <f>IFERROR(__xludf.DUMMYFUNCTION("""COMPUTED_VALUE"""),3.5456012E7)</f>
        <v>35456012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IFERROR(__xludf.DUMMYFUNCTION("""COMPUTED_VALUE"""),208.37)</f>
        <v>208.37</v>
      </c>
      <c r="C470" s="2">
        <f>IFERROR(__xludf.DUMMYFUNCTION("""COMPUTED_VALUE"""),209.54)</f>
        <v>209.54</v>
      </c>
      <c r="D470" s="2">
        <f>IFERROR(__xludf.DUMMYFUNCTION("""COMPUTED_VALUE"""),206.01)</f>
        <v>206.01</v>
      </c>
      <c r="E470" s="2">
        <f>IFERROR(__xludf.DUMMYFUNCTION("""COMPUTED_VALUE"""),208.91)</f>
        <v>208.91</v>
      </c>
      <c r="F470" s="2">
        <f>IFERROR(__xludf.DUMMYFUNCTION("""COMPUTED_VALUE"""),3.8942918E7)</f>
        <v>38942918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IFERROR(__xludf.DUMMYFUNCTION("""COMPUTED_VALUE"""),209.4)</f>
        <v>209.4</v>
      </c>
      <c r="C471" s="2">
        <f>IFERROR(__xludf.DUMMYFUNCTION("""COMPUTED_VALUE"""),215.09)</f>
        <v>215.09</v>
      </c>
      <c r="D471" s="2">
        <f>IFERROR(__xludf.DUMMYFUNCTION("""COMPUTED_VALUE"""),209.14)</f>
        <v>209.14</v>
      </c>
      <c r="E471" s="2">
        <f>IFERROR(__xludf.DUMMYFUNCTION("""COMPUTED_VALUE"""),214.1)</f>
        <v>214.1</v>
      </c>
      <c r="F471" s="2">
        <f>IFERROR(__xludf.DUMMYFUNCTION("""COMPUTED_VALUE"""),4.6212943E7)</f>
        <v>46212943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IFERROR(__xludf.DUMMYFUNCTION("""COMPUTED_VALUE"""),214.16)</f>
        <v>214.16</v>
      </c>
      <c r="C472" s="2">
        <f>IFERROR(__xludf.DUMMYFUNCTION("""COMPUTED_VALUE"""),215.9)</f>
        <v>215.9</v>
      </c>
      <c r="D472" s="2">
        <f>IFERROR(__xludf.DUMMYFUNCTION("""COMPUTED_VALUE"""),210.88)</f>
        <v>210.88</v>
      </c>
      <c r="E472" s="2">
        <f>IFERROR(__xludf.DUMMYFUNCTION("""COMPUTED_VALUE"""),211.48)</f>
        <v>211.48</v>
      </c>
      <c r="F472" s="2">
        <f>IFERROR(__xludf.DUMMYFUNCTION("""COMPUTED_VALUE"""),4.2620309E7)</f>
        <v>42620309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IFERROR(__xludf.DUMMYFUNCTION("""COMPUTED_VALUE"""),206.76)</f>
        <v>206.76</v>
      </c>
      <c r="C473" s="2">
        <f>IFERROR(__xludf.DUMMYFUNCTION("""COMPUTED_VALUE"""),207.34)</f>
        <v>207.34</v>
      </c>
      <c r="D473" s="2">
        <f>IFERROR(__xludf.DUMMYFUNCTION("""COMPUTED_VALUE"""),199.61)</f>
        <v>199.61</v>
      </c>
      <c r="E473" s="2">
        <f>IFERROR(__xludf.DUMMYFUNCTION("""COMPUTED_VALUE"""),202.61)</f>
        <v>202.61</v>
      </c>
      <c r="F473" s="2">
        <f>IFERROR(__xludf.DUMMYFUNCTION("""COMPUTED_VALUE"""),8.6591144E7)</f>
        <v>86591144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IFERROR(__xludf.DUMMYFUNCTION("""COMPUTED_VALUE"""),204.15)</f>
        <v>204.15</v>
      </c>
      <c r="C474" s="2">
        <f>IFERROR(__xludf.DUMMYFUNCTION("""COMPUTED_VALUE"""),204.67)</f>
        <v>204.67</v>
      </c>
      <c r="D474" s="2">
        <f>IFERROR(__xludf.DUMMYFUNCTION("""COMPUTED_VALUE"""),200.95)</f>
        <v>200.95</v>
      </c>
      <c r="E474" s="2">
        <f>IFERROR(__xludf.DUMMYFUNCTION("""COMPUTED_VALUE"""),201.7)</f>
        <v>201.7</v>
      </c>
      <c r="F474" s="2">
        <f>IFERROR(__xludf.DUMMYFUNCTION("""COMPUTED_VALUE"""),3.6512465E7)</f>
        <v>36512465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IFERROR(__xludf.DUMMYFUNCTION("""COMPUTED_VALUE"""),199.33)</f>
        <v>199.33</v>
      </c>
      <c r="C475" s="2">
        <f>IFERROR(__xludf.DUMMYFUNCTION("""COMPUTED_VALUE"""),205.3)</f>
        <v>205.3</v>
      </c>
      <c r="D475" s="2">
        <f>IFERROR(__xludf.DUMMYFUNCTION("""COMPUTED_VALUE"""),198.78)</f>
        <v>198.78</v>
      </c>
      <c r="E475" s="2">
        <f>IFERROR(__xludf.DUMMYFUNCTION("""COMPUTED_VALUE"""),204.61)</f>
        <v>204.61</v>
      </c>
      <c r="F475" s="2">
        <f>IFERROR(__xludf.DUMMYFUNCTION("""COMPUTED_VALUE"""),3.1197867E7)</f>
        <v>31197867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IFERROR(__xludf.DUMMYFUNCTION("""COMPUTED_VALUE"""),202.98)</f>
        <v>202.98</v>
      </c>
      <c r="C476" s="2">
        <f>IFERROR(__xludf.DUMMYFUNCTION("""COMPUTED_VALUE"""),203.13)</f>
        <v>203.13</v>
      </c>
      <c r="D476" s="2">
        <f>IFERROR(__xludf.DUMMYFUNCTION("""COMPUTED_VALUE"""),199.45)</f>
        <v>199.45</v>
      </c>
      <c r="E476" s="2">
        <f>IFERROR(__xludf.DUMMYFUNCTION("""COMPUTED_VALUE"""),202.88)</f>
        <v>202.88</v>
      </c>
      <c r="F476" s="2">
        <f>IFERROR(__xludf.DUMMYFUNCTION("""COMPUTED_VALUE"""),3.2768989E7)</f>
        <v>32768989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IFERROR(__xludf.DUMMYFUNCTION("""COMPUTED_VALUE"""),203.49)</f>
        <v>203.49</v>
      </c>
      <c r="C477" s="2">
        <f>IFERROR(__xludf.DUMMYFUNCTION("""COMPUTED_VALUE"""),203.49)</f>
        <v>203.49</v>
      </c>
      <c r="D477" s="2">
        <f>IFERROR(__xludf.DUMMYFUNCTION("""COMPUTED_VALUE"""),195.75)</f>
        <v>195.75</v>
      </c>
      <c r="E477" s="2">
        <f>IFERROR(__xludf.DUMMYFUNCTION("""COMPUTED_VALUE"""),198.38)</f>
        <v>198.38</v>
      </c>
      <c r="F477" s="2">
        <f>IFERROR(__xludf.DUMMYFUNCTION("""COMPUTED_VALUE"""),5.8800042E7)</f>
        <v>58800042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IFERROR(__xludf.DUMMYFUNCTION("""COMPUTED_VALUE"""),198.25)</f>
        <v>198.25</v>
      </c>
      <c r="C478" s="2">
        <f>IFERROR(__xludf.DUMMYFUNCTION("""COMPUTED_VALUE"""),199.26)</f>
        <v>199.26</v>
      </c>
      <c r="D478" s="2">
        <f>IFERROR(__xludf.DUMMYFUNCTION("""COMPUTED_VALUE"""),196.75)</f>
        <v>196.75</v>
      </c>
      <c r="E478" s="2">
        <f>IFERROR(__xludf.DUMMYFUNCTION("""COMPUTED_VALUE"""),197.12)</f>
        <v>197.12</v>
      </c>
      <c r="F478" s="2">
        <f>IFERROR(__xludf.DUMMYFUNCTION("""COMPUTED_VALUE"""),3.1530844E7)</f>
        <v>31530844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IFERROR(__xludf.DUMMYFUNCTION("""COMPUTED_VALUE"""),199.28)</f>
        <v>199.28</v>
      </c>
      <c r="C479" s="2">
        <f>IFERROR(__xludf.DUMMYFUNCTION("""COMPUTED_VALUE"""),201.95)</f>
        <v>201.95</v>
      </c>
      <c r="D479" s="2">
        <f>IFERROR(__xludf.DUMMYFUNCTION("""COMPUTED_VALUE"""),199.0)</f>
        <v>199</v>
      </c>
      <c r="E479" s="2">
        <f>IFERROR(__xludf.DUMMYFUNCTION("""COMPUTED_VALUE"""),201.45)</f>
        <v>201.45</v>
      </c>
      <c r="F479" s="2">
        <f>IFERROR(__xludf.DUMMYFUNCTION("""COMPUTED_VALUE"""),4.0685672E7)</f>
        <v>40685672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IFERROR(__xludf.DUMMYFUNCTION("""COMPUTED_VALUE"""),201.9)</f>
        <v>201.9</v>
      </c>
      <c r="C480" s="2">
        <f>IFERROR(__xludf.DUMMYFUNCTION("""COMPUTED_VALUE"""),208.0)</f>
        <v>208</v>
      </c>
      <c r="D480" s="2">
        <f>IFERROR(__xludf.DUMMYFUNCTION("""COMPUTED_VALUE"""),201.79)</f>
        <v>201.79</v>
      </c>
      <c r="E480" s="2">
        <f>IFERROR(__xludf.DUMMYFUNCTION("""COMPUTED_VALUE"""),207.86)</f>
        <v>207.86</v>
      </c>
      <c r="F480" s="2">
        <f>IFERROR(__xludf.DUMMYFUNCTION("""COMPUTED_VALUE"""),4.1673737E7)</f>
        <v>41673737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IFERROR(__xludf.DUMMYFUNCTION("""COMPUTED_VALUE"""),206.98)</f>
        <v>206.98</v>
      </c>
      <c r="C481" s="2">
        <f>IFERROR(__xludf.DUMMYFUNCTION("""COMPUTED_VALUE"""),207.64)</f>
        <v>207.64</v>
      </c>
      <c r="D481" s="2">
        <f>IFERROR(__xludf.DUMMYFUNCTION("""COMPUTED_VALUE"""),205.05)</f>
        <v>205.05</v>
      </c>
      <c r="E481" s="2">
        <f>IFERROR(__xludf.DUMMYFUNCTION("""COMPUTED_VALUE"""),205.74)</f>
        <v>205.74</v>
      </c>
      <c r="F481" s="2">
        <f>IFERROR(__xludf.DUMMYFUNCTION("""COMPUTED_VALUE"""),2.8061638E7)</f>
        <v>28061638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IFERROR(__xludf.DUMMYFUNCTION("""COMPUTED_VALUE"""),205.83)</f>
        <v>205.83</v>
      </c>
      <c r="C482" s="2">
        <f>IFERROR(__xludf.DUMMYFUNCTION("""COMPUTED_VALUE"""),208.2)</f>
        <v>208.2</v>
      </c>
      <c r="D482" s="2">
        <f>IFERROR(__xludf.DUMMYFUNCTION("""COMPUTED_VALUE"""),204.59)</f>
        <v>204.59</v>
      </c>
      <c r="E482" s="2">
        <f>IFERROR(__xludf.DUMMYFUNCTION("""COMPUTED_VALUE"""),207.89)</f>
        <v>207.89</v>
      </c>
      <c r="F482" s="2">
        <f>IFERROR(__xludf.DUMMYFUNCTION("""COMPUTED_VALUE"""),2.4892447E7)</f>
        <v>24892447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IFERROR(__xludf.DUMMYFUNCTION("""COMPUTED_VALUE"""),209.96)</f>
        <v>209.96</v>
      </c>
      <c r="C483" s="2">
        <f>IFERROR(__xludf.DUMMYFUNCTION("""COMPUTED_VALUE"""),212.99)</f>
        <v>212.99</v>
      </c>
      <c r="D483" s="2">
        <f>IFERROR(__xludf.DUMMYFUNCTION("""COMPUTED_VALUE"""),209.51)</f>
        <v>209.51</v>
      </c>
      <c r="E483" s="2">
        <f>IFERROR(__xludf.DUMMYFUNCTION("""COMPUTED_VALUE"""),210.71)</f>
        <v>210.71</v>
      </c>
      <c r="F483" s="2">
        <f>IFERROR(__xludf.DUMMYFUNCTION("""COMPUTED_VALUE"""),3.9523185E7)</f>
        <v>39523185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IFERROR(__xludf.DUMMYFUNCTION("""COMPUTED_VALUE"""),210.31)</f>
        <v>210.31</v>
      </c>
      <c r="C484" s="2">
        <f>IFERROR(__xludf.DUMMYFUNCTION("""COMPUTED_VALUE"""),214.02)</f>
        <v>214.02</v>
      </c>
      <c r="D484" s="2">
        <f>IFERROR(__xludf.DUMMYFUNCTION("""COMPUTED_VALUE"""),209.65)</f>
        <v>209.65</v>
      </c>
      <c r="E484" s="2">
        <f>IFERROR(__xludf.DUMMYFUNCTION("""COMPUTED_VALUE"""),213.44)</f>
        <v>213.44</v>
      </c>
      <c r="F484" s="2">
        <f>IFERROR(__xludf.DUMMYFUNCTION("""COMPUTED_VALUE"""),3.2214828E7)</f>
        <v>32214828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IFERROR(__xludf.DUMMYFUNCTION("""COMPUTED_VALUE"""),215.96)</f>
        <v>215.96</v>
      </c>
      <c r="C485" s="2">
        <f>IFERROR(__xludf.DUMMYFUNCTION("""COMPUTED_VALUE"""),220.0)</f>
        <v>220</v>
      </c>
      <c r="D485" s="2">
        <f>IFERROR(__xludf.DUMMYFUNCTION("""COMPUTED_VALUE"""),215.75)</f>
        <v>215.75</v>
      </c>
      <c r="E485" s="2">
        <f>IFERROR(__xludf.DUMMYFUNCTION("""COMPUTED_VALUE"""),218.16)</f>
        <v>218.16</v>
      </c>
      <c r="F485" s="2">
        <f>IFERROR(__xludf.DUMMYFUNCTION("""COMPUTED_VALUE"""),4.8745716E7)</f>
        <v>48745716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IFERROR(__xludf.DUMMYFUNCTION("""COMPUTED_VALUE"""),218.03)</f>
        <v>218.03</v>
      </c>
      <c r="C486" s="2">
        <f>IFERROR(__xludf.DUMMYFUNCTION("""COMPUTED_VALUE"""),222.15)</f>
        <v>222.15</v>
      </c>
      <c r="D486" s="2">
        <f>IFERROR(__xludf.DUMMYFUNCTION("""COMPUTED_VALUE"""),217.3)</f>
        <v>217.3</v>
      </c>
      <c r="E486" s="2">
        <f>IFERROR(__xludf.DUMMYFUNCTION("""COMPUTED_VALUE"""),220.55)</f>
        <v>220.55</v>
      </c>
      <c r="F486" s="2">
        <f>IFERROR(__xludf.DUMMYFUNCTION("""COMPUTED_VALUE"""),4.114022E7)</f>
        <v>41140220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IFERROR(__xludf.DUMMYFUNCTION("""COMPUTED_VALUE"""),220.75)</f>
        <v>220.75</v>
      </c>
      <c r="C487" s="2">
        <f>IFERROR(__xludf.DUMMYFUNCTION("""COMPUTED_VALUE"""),227.15)</f>
        <v>227.15</v>
      </c>
      <c r="D487" s="2">
        <f>IFERROR(__xludf.DUMMYFUNCTION("""COMPUTED_VALUE"""),220.6)</f>
        <v>220.6</v>
      </c>
      <c r="E487" s="2">
        <f>IFERROR(__xludf.DUMMYFUNCTION("""COMPUTED_VALUE"""),227.03)</f>
        <v>227.03</v>
      </c>
      <c r="F487" s="2">
        <f>IFERROR(__xludf.DUMMYFUNCTION("""COMPUTED_VALUE"""),4.4178069E7)</f>
        <v>44178069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IFERROR(__xludf.DUMMYFUNCTION("""COMPUTED_VALUE"""),227.21)</f>
        <v>227.21</v>
      </c>
      <c r="C488" s="2">
        <f>IFERROR(__xludf.DUMMYFUNCTION("""COMPUTED_VALUE"""),230.08)</f>
        <v>230.08</v>
      </c>
      <c r="D488" s="2">
        <f>IFERROR(__xludf.DUMMYFUNCTION("""COMPUTED_VALUE"""),225.67)</f>
        <v>225.67</v>
      </c>
      <c r="E488" s="2">
        <f>IFERROR(__xludf.DUMMYFUNCTION("""COMPUTED_VALUE"""),226.09)</f>
        <v>226.09</v>
      </c>
      <c r="F488" s="2">
        <f>IFERROR(__xludf.DUMMYFUNCTION("""COMPUTED_VALUE"""),4.6819363E7)</f>
        <v>46819363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IFERROR(__xludf.DUMMYFUNCTION("""COMPUTED_VALUE"""),227.21)</f>
        <v>227.21</v>
      </c>
      <c r="C489" s="2">
        <f>IFERROR(__xludf.DUMMYFUNCTION("""COMPUTED_VALUE"""),230.08)</f>
        <v>230.08</v>
      </c>
      <c r="D489" s="2">
        <f>IFERROR(__xludf.DUMMYFUNCTION("""COMPUTED_VALUE"""),225.67)</f>
        <v>225.67</v>
      </c>
      <c r="E489" s="2">
        <f>IFERROR(__xludf.DUMMYFUNCTION("""COMPUTED_VALUE"""),226.09)</f>
        <v>226.09</v>
      </c>
      <c r="F489" s="2">
        <f>IFERROR(__xludf.DUMMYFUNCTION("""COMPUTED_VALUE"""),404898.0)</f>
        <v>404898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IFERROR(__xludf.DUMMYFUNCTION("""COMPUTED_VALUE"""),226.41)</f>
        <v>226.41</v>
      </c>
      <c r="C490" s="2">
        <f>IFERROR(__xludf.DUMMYFUNCTION("""COMPUTED_VALUE"""),231.2)</f>
        <v>231.2</v>
      </c>
      <c r="D490" s="2">
        <f>IFERROR(__xludf.DUMMYFUNCTION("""COMPUTED_VALUE"""),226.26)</f>
        <v>226.26</v>
      </c>
      <c r="E490" s="2">
        <f>IFERROR(__xludf.DUMMYFUNCTION("""COMPUTED_VALUE"""),230.26)</f>
        <v>230.26</v>
      </c>
      <c r="F490" s="2">
        <f>IFERROR(__xludf.DUMMYFUNCTION("""COMPUTED_VALUE"""),3.5385785E7)</f>
        <v>35385785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IFERROR(__xludf.DUMMYFUNCTION("""COMPUTED_VALUE"""),229.83)</f>
        <v>229.83</v>
      </c>
      <c r="C491" s="2">
        <f>IFERROR(__xludf.DUMMYFUNCTION("""COMPUTED_VALUE"""),231.09)</f>
        <v>231.09</v>
      </c>
      <c r="D491" s="2">
        <f>IFERROR(__xludf.DUMMYFUNCTION("""COMPUTED_VALUE"""),227.63)</f>
        <v>227.63</v>
      </c>
      <c r="E491" s="2">
        <f>IFERROR(__xludf.DUMMYFUNCTION("""COMPUTED_VALUE"""),228.97)</f>
        <v>228.97</v>
      </c>
      <c r="F491" s="2">
        <f>IFERROR(__xludf.DUMMYFUNCTION("""COMPUTED_VALUE"""),2.8204084E7)</f>
        <v>28204084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IFERROR(__xludf.DUMMYFUNCTION("""COMPUTED_VALUE"""),228.4)</f>
        <v>228.4</v>
      </c>
      <c r="C492" s="2">
        <f>IFERROR(__xludf.DUMMYFUNCTION("""COMPUTED_VALUE"""),230.2)</f>
        <v>230.2</v>
      </c>
      <c r="D492" s="2">
        <f>IFERROR(__xludf.DUMMYFUNCTION("""COMPUTED_VALUE"""),225.86)</f>
        <v>225.86</v>
      </c>
      <c r="E492" s="2">
        <f>IFERROR(__xludf.DUMMYFUNCTION("""COMPUTED_VALUE"""),227.46)</f>
        <v>227.46</v>
      </c>
      <c r="F492" s="2">
        <f>IFERROR(__xludf.DUMMYFUNCTION("""COMPUTED_VALUE"""),2.876808E7)</f>
        <v>28768080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IFERROR(__xludf.DUMMYFUNCTION("""COMPUTED_VALUE"""),230.23)</f>
        <v>230.23</v>
      </c>
      <c r="C493" s="2">
        <f>IFERROR(__xludf.DUMMYFUNCTION("""COMPUTED_VALUE"""),233.0)</f>
        <v>233</v>
      </c>
      <c r="D493" s="2">
        <f>IFERROR(__xludf.DUMMYFUNCTION("""COMPUTED_VALUE"""),228.01)</f>
        <v>228.01</v>
      </c>
      <c r="E493" s="2">
        <f>IFERROR(__xludf.DUMMYFUNCTION("""COMPUTED_VALUE"""),232.93)</f>
        <v>232.93</v>
      </c>
      <c r="F493" s="2">
        <f>IFERROR(__xludf.DUMMYFUNCTION("""COMPUTED_VALUE"""),3.7552096E7)</f>
        <v>37552096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IFERROR(__xludf.DUMMYFUNCTION("""COMPUTED_VALUE"""),232.39)</f>
        <v>232.39</v>
      </c>
      <c r="C494" s="2">
        <f>IFERROR(__xludf.DUMMYFUNCTION("""COMPUTED_VALUE"""),232.73)</f>
        <v>232.73</v>
      </c>
      <c r="D494" s="2">
        <f>IFERROR(__xludf.DUMMYFUNCTION("""COMPUTED_VALUE"""),227.85)</f>
        <v>227.85</v>
      </c>
      <c r="E494" s="2">
        <f>IFERROR(__xludf.DUMMYFUNCTION("""COMPUTED_VALUE"""),231.15)</f>
        <v>231.15</v>
      </c>
      <c r="F494" s="2">
        <f>IFERROR(__xludf.DUMMYFUNCTION("""COMPUTED_VALUE"""),3.5948131E7)</f>
        <v>35948131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IFERROR(__xludf.DUMMYFUNCTION("GOOGLEFINANCE(""SNOW"",""all"",DATE(2023,1,1),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IFERROR(__xludf.DUMMYFUNCTION("""COMPUTED_VALUE"""),146.48)</f>
        <v>146.48</v>
      </c>
      <c r="C2" s="2">
        <f>IFERROR(__xludf.DUMMYFUNCTION("""COMPUTED_VALUE"""),149.2)</f>
        <v>149.2</v>
      </c>
      <c r="D2" s="2">
        <f>IFERROR(__xludf.DUMMYFUNCTION("""COMPUTED_VALUE"""),135.34)</f>
        <v>135.34</v>
      </c>
      <c r="E2" s="2">
        <f>IFERROR(__xludf.DUMMYFUNCTION("""COMPUTED_VALUE"""),135.5)</f>
        <v>135.5</v>
      </c>
      <c r="F2" s="2">
        <f>IFERROR(__xludf.DUMMYFUNCTION("""COMPUTED_VALUE"""),4441952.0)</f>
        <v>4441952</v>
      </c>
    </row>
    <row r="3">
      <c r="A3" s="3">
        <f>IFERROR(__xludf.DUMMYFUNCTION("""COMPUTED_VALUE"""),44930.66666666667)</f>
        <v>44930.66667</v>
      </c>
      <c r="B3" s="2">
        <f>IFERROR(__xludf.DUMMYFUNCTION("""COMPUTED_VALUE"""),137.28)</f>
        <v>137.28</v>
      </c>
      <c r="C3" s="2">
        <f>IFERROR(__xludf.DUMMYFUNCTION("""COMPUTED_VALUE"""),137.6)</f>
        <v>137.6</v>
      </c>
      <c r="D3" s="2">
        <f>IFERROR(__xludf.DUMMYFUNCTION("""COMPUTED_VALUE"""),128.58)</f>
        <v>128.58</v>
      </c>
      <c r="E3" s="2">
        <f>IFERROR(__xludf.DUMMYFUNCTION("""COMPUTED_VALUE"""),130.44)</f>
        <v>130.44</v>
      </c>
      <c r="F3" s="2">
        <f>IFERROR(__xludf.DUMMYFUNCTION("""COMPUTED_VALUE"""),6672904.0)</f>
        <v>6672904</v>
      </c>
    </row>
    <row r="4">
      <c r="A4" s="3">
        <f>IFERROR(__xludf.DUMMYFUNCTION("""COMPUTED_VALUE"""),44931.66666666667)</f>
        <v>44931.66667</v>
      </c>
      <c r="B4" s="2">
        <f>IFERROR(__xludf.DUMMYFUNCTION("""COMPUTED_VALUE"""),129.3)</f>
        <v>129.3</v>
      </c>
      <c r="C4" s="2">
        <f>IFERROR(__xludf.DUMMYFUNCTION("""COMPUTED_VALUE"""),129.49)</f>
        <v>129.49</v>
      </c>
      <c r="D4" s="2">
        <f>IFERROR(__xludf.DUMMYFUNCTION("""COMPUTED_VALUE"""),121.04)</f>
        <v>121.04</v>
      </c>
      <c r="E4" s="2">
        <f>IFERROR(__xludf.DUMMYFUNCTION("""COMPUTED_VALUE"""),121.56)</f>
        <v>121.56</v>
      </c>
      <c r="F4" s="2">
        <f>IFERROR(__xludf.DUMMYFUNCTION("""COMPUTED_VALUE"""),8231751.0)</f>
        <v>8231751</v>
      </c>
    </row>
    <row r="5">
      <c r="A5" s="3">
        <f>IFERROR(__xludf.DUMMYFUNCTION("""COMPUTED_VALUE"""),44932.66666666667)</f>
        <v>44932.66667</v>
      </c>
      <c r="B5" s="2">
        <f>IFERROR(__xludf.DUMMYFUNCTION("""COMPUTED_VALUE"""),122.09)</f>
        <v>122.09</v>
      </c>
      <c r="C5" s="2">
        <f>IFERROR(__xludf.DUMMYFUNCTION("""COMPUTED_VALUE"""),126.07)</f>
        <v>126.07</v>
      </c>
      <c r="D5" s="2">
        <f>IFERROR(__xludf.DUMMYFUNCTION("""COMPUTED_VALUE"""),119.27)</f>
        <v>119.27</v>
      </c>
      <c r="E5" s="2">
        <f>IFERROR(__xludf.DUMMYFUNCTION("""COMPUTED_VALUE"""),124.06)</f>
        <v>124.06</v>
      </c>
      <c r="F5" s="2">
        <f>IFERROR(__xludf.DUMMYFUNCTION("""COMPUTED_VALUE"""),5827362.0)</f>
        <v>5827362</v>
      </c>
    </row>
    <row r="6">
      <c r="A6" s="3">
        <f>IFERROR(__xludf.DUMMYFUNCTION("""COMPUTED_VALUE"""),44935.66666666667)</f>
        <v>44935.66667</v>
      </c>
      <c r="B6" s="2">
        <f>IFERROR(__xludf.DUMMYFUNCTION("""COMPUTED_VALUE"""),127.23)</f>
        <v>127.23</v>
      </c>
      <c r="C6" s="2">
        <f>IFERROR(__xludf.DUMMYFUNCTION("""COMPUTED_VALUE"""),137.64)</f>
        <v>137.64</v>
      </c>
      <c r="D6" s="2">
        <f>IFERROR(__xludf.DUMMYFUNCTION("""COMPUTED_VALUE"""),126.67)</f>
        <v>126.67</v>
      </c>
      <c r="E6" s="2">
        <f>IFERROR(__xludf.DUMMYFUNCTION("""COMPUTED_VALUE"""),134.43)</f>
        <v>134.43</v>
      </c>
      <c r="F6" s="2">
        <f>IFERROR(__xludf.DUMMYFUNCTION("""COMPUTED_VALUE"""),8192948.0)</f>
        <v>8192948</v>
      </c>
    </row>
    <row r="7">
      <c r="A7" s="3">
        <f>IFERROR(__xludf.DUMMYFUNCTION("""COMPUTED_VALUE"""),44936.66666666667)</f>
        <v>44936.66667</v>
      </c>
      <c r="B7" s="2">
        <f>IFERROR(__xludf.DUMMYFUNCTION("""COMPUTED_VALUE"""),134.86)</f>
        <v>134.86</v>
      </c>
      <c r="C7" s="2">
        <f>IFERROR(__xludf.DUMMYFUNCTION("""COMPUTED_VALUE"""),138.45)</f>
        <v>138.45</v>
      </c>
      <c r="D7" s="2">
        <f>IFERROR(__xludf.DUMMYFUNCTION("""COMPUTED_VALUE"""),133.74)</f>
        <v>133.74</v>
      </c>
      <c r="E7" s="2">
        <f>IFERROR(__xludf.DUMMYFUNCTION("""COMPUTED_VALUE"""),137.94)</f>
        <v>137.94</v>
      </c>
      <c r="F7" s="2">
        <f>IFERROR(__xludf.DUMMYFUNCTION("""COMPUTED_VALUE"""),4518407.0)</f>
        <v>4518407</v>
      </c>
    </row>
    <row r="8">
      <c r="A8" s="3">
        <f>IFERROR(__xludf.DUMMYFUNCTION("""COMPUTED_VALUE"""),44937.66666666667)</f>
        <v>44937.66667</v>
      </c>
      <c r="B8" s="2">
        <f>IFERROR(__xludf.DUMMYFUNCTION("""COMPUTED_VALUE"""),138.2)</f>
        <v>138.2</v>
      </c>
      <c r="C8" s="2">
        <f>IFERROR(__xludf.DUMMYFUNCTION("""COMPUTED_VALUE"""),141.07)</f>
        <v>141.07</v>
      </c>
      <c r="D8" s="2">
        <f>IFERROR(__xludf.DUMMYFUNCTION("""COMPUTED_VALUE"""),136.55)</f>
        <v>136.55</v>
      </c>
      <c r="E8" s="2">
        <f>IFERROR(__xludf.DUMMYFUNCTION("""COMPUTED_VALUE"""),139.71)</f>
        <v>139.71</v>
      </c>
      <c r="F8" s="2">
        <f>IFERROR(__xludf.DUMMYFUNCTION("""COMPUTED_VALUE"""),4290297.0)</f>
        <v>4290297</v>
      </c>
    </row>
    <row r="9">
      <c r="A9" s="3">
        <f>IFERROR(__xludf.DUMMYFUNCTION("""COMPUTED_VALUE"""),44938.66666666667)</f>
        <v>44938.66667</v>
      </c>
      <c r="B9" s="2">
        <f>IFERROR(__xludf.DUMMYFUNCTION("""COMPUTED_VALUE"""),140.39)</f>
        <v>140.39</v>
      </c>
      <c r="C9" s="2">
        <f>IFERROR(__xludf.DUMMYFUNCTION("""COMPUTED_VALUE"""),142.16)</f>
        <v>142.16</v>
      </c>
      <c r="D9" s="2">
        <f>IFERROR(__xludf.DUMMYFUNCTION("""COMPUTED_VALUE"""),135.1)</f>
        <v>135.1</v>
      </c>
      <c r="E9" s="2">
        <f>IFERROR(__xludf.DUMMYFUNCTION("""COMPUTED_VALUE"""),142.14)</f>
        <v>142.14</v>
      </c>
      <c r="F9" s="2">
        <f>IFERROR(__xludf.DUMMYFUNCTION("""COMPUTED_VALUE"""),3810038.0)</f>
        <v>3810038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IFERROR(__xludf.DUMMYFUNCTION("""COMPUTED_VALUE"""),139.3)</f>
        <v>139.3</v>
      </c>
      <c r="C10" s="2">
        <f>IFERROR(__xludf.DUMMYFUNCTION("""COMPUTED_VALUE"""),141.77)</f>
        <v>141.77</v>
      </c>
      <c r="D10" s="2">
        <f>IFERROR(__xludf.DUMMYFUNCTION("""COMPUTED_VALUE"""),137.31)</f>
        <v>137.31</v>
      </c>
      <c r="E10" s="2">
        <f>IFERROR(__xludf.DUMMYFUNCTION("""COMPUTED_VALUE"""),140.87)</f>
        <v>140.87</v>
      </c>
      <c r="F10" s="2">
        <f>IFERROR(__xludf.DUMMYFUNCTION("""COMPUTED_VALUE"""),4919267.0)</f>
        <v>4919267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IFERROR(__xludf.DUMMYFUNCTION("""COMPUTED_VALUE"""),141.15)</f>
        <v>141.15</v>
      </c>
      <c r="C11" s="2">
        <f>IFERROR(__xludf.DUMMYFUNCTION("""COMPUTED_VALUE"""),147.32)</f>
        <v>147.32</v>
      </c>
      <c r="D11" s="2">
        <f>IFERROR(__xludf.DUMMYFUNCTION("""COMPUTED_VALUE"""),139.46)</f>
        <v>139.46</v>
      </c>
      <c r="E11" s="2">
        <f>IFERROR(__xludf.DUMMYFUNCTION("""COMPUTED_VALUE"""),145.72)</f>
        <v>145.72</v>
      </c>
      <c r="F11" s="2">
        <f>IFERROR(__xludf.DUMMYFUNCTION("""COMPUTED_VALUE"""),4607410.0)</f>
        <v>4607410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IFERROR(__xludf.DUMMYFUNCTION("""COMPUTED_VALUE"""),147.45)</f>
        <v>147.45</v>
      </c>
      <c r="C12" s="2">
        <f>IFERROR(__xludf.DUMMYFUNCTION("""COMPUTED_VALUE"""),148.57)</f>
        <v>148.57</v>
      </c>
      <c r="D12" s="2">
        <f>IFERROR(__xludf.DUMMYFUNCTION("""COMPUTED_VALUE"""),140.04)</f>
        <v>140.04</v>
      </c>
      <c r="E12" s="2">
        <f>IFERROR(__xludf.DUMMYFUNCTION("""COMPUTED_VALUE"""),140.11)</f>
        <v>140.11</v>
      </c>
      <c r="F12" s="2">
        <f>IFERROR(__xludf.DUMMYFUNCTION("""COMPUTED_VALUE"""),4336969.0)</f>
        <v>4336969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IFERROR(__xludf.DUMMYFUNCTION("""COMPUTED_VALUE"""),137.5)</f>
        <v>137.5</v>
      </c>
      <c r="C13" s="2">
        <f>IFERROR(__xludf.DUMMYFUNCTION("""COMPUTED_VALUE"""),140.55)</f>
        <v>140.55</v>
      </c>
      <c r="D13" s="2">
        <f>IFERROR(__xludf.DUMMYFUNCTION("""COMPUTED_VALUE"""),135.08)</f>
        <v>135.08</v>
      </c>
      <c r="E13" s="2">
        <f>IFERROR(__xludf.DUMMYFUNCTION("""COMPUTED_VALUE"""),135.24)</f>
        <v>135.24</v>
      </c>
      <c r="F13" s="2">
        <f>IFERROR(__xludf.DUMMYFUNCTION("""COMPUTED_VALUE"""),4916404.0)</f>
        <v>4916404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IFERROR(__xludf.DUMMYFUNCTION("""COMPUTED_VALUE"""),136.45)</f>
        <v>136.45</v>
      </c>
      <c r="C14" s="2">
        <f>IFERROR(__xludf.DUMMYFUNCTION("""COMPUTED_VALUE"""),145.08)</f>
        <v>145.08</v>
      </c>
      <c r="D14" s="2">
        <f>IFERROR(__xludf.DUMMYFUNCTION("""COMPUTED_VALUE"""),135.32)</f>
        <v>135.32</v>
      </c>
      <c r="E14" s="2">
        <f>IFERROR(__xludf.DUMMYFUNCTION("""COMPUTED_VALUE"""),144.82)</f>
        <v>144.82</v>
      </c>
      <c r="F14" s="2">
        <f>IFERROR(__xludf.DUMMYFUNCTION("""COMPUTED_VALUE"""),4714237.0)</f>
        <v>4714237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IFERROR(__xludf.DUMMYFUNCTION("""COMPUTED_VALUE"""),146.5)</f>
        <v>146.5</v>
      </c>
      <c r="C15" s="2">
        <f>IFERROR(__xludf.DUMMYFUNCTION("""COMPUTED_VALUE"""),150.92)</f>
        <v>150.92</v>
      </c>
      <c r="D15" s="2">
        <f>IFERROR(__xludf.DUMMYFUNCTION("""COMPUTED_VALUE"""),144.74)</f>
        <v>144.74</v>
      </c>
      <c r="E15" s="2">
        <f>IFERROR(__xludf.DUMMYFUNCTION("""COMPUTED_VALUE"""),150.3)</f>
        <v>150.3</v>
      </c>
      <c r="F15" s="2">
        <f>IFERROR(__xludf.DUMMYFUNCTION("""COMPUTED_VALUE"""),4562743.0)</f>
        <v>4562743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IFERROR(__xludf.DUMMYFUNCTION("""COMPUTED_VALUE"""),148.13)</f>
        <v>148.13</v>
      </c>
      <c r="C16" s="2">
        <f>IFERROR(__xludf.DUMMYFUNCTION("""COMPUTED_VALUE"""),152.76)</f>
        <v>152.76</v>
      </c>
      <c r="D16" s="2">
        <f>IFERROR(__xludf.DUMMYFUNCTION("""COMPUTED_VALUE"""),145.26)</f>
        <v>145.26</v>
      </c>
      <c r="E16" s="2">
        <f>IFERROR(__xludf.DUMMYFUNCTION("""COMPUTED_VALUE"""),145.79)</f>
        <v>145.79</v>
      </c>
      <c r="F16" s="2">
        <f>IFERROR(__xludf.DUMMYFUNCTION("""COMPUTED_VALUE"""),4086142.0)</f>
        <v>4086142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IFERROR(__xludf.DUMMYFUNCTION("""COMPUTED_VALUE"""),138.27)</f>
        <v>138.27</v>
      </c>
      <c r="C17" s="2">
        <f>IFERROR(__xludf.DUMMYFUNCTION("""COMPUTED_VALUE"""),144.93)</f>
        <v>144.93</v>
      </c>
      <c r="D17" s="2">
        <f>IFERROR(__xludf.DUMMYFUNCTION("""COMPUTED_VALUE"""),134.34)</f>
        <v>134.34</v>
      </c>
      <c r="E17" s="2">
        <f>IFERROR(__xludf.DUMMYFUNCTION("""COMPUTED_VALUE"""),144.44)</f>
        <v>144.44</v>
      </c>
      <c r="F17" s="2">
        <f>IFERROR(__xludf.DUMMYFUNCTION("""COMPUTED_VALUE"""),7460129.0)</f>
        <v>7460129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IFERROR(__xludf.DUMMYFUNCTION("""COMPUTED_VALUE"""),148.67)</f>
        <v>148.67</v>
      </c>
      <c r="C18" s="2">
        <f>IFERROR(__xludf.DUMMYFUNCTION("""COMPUTED_VALUE"""),152.49)</f>
        <v>152.49</v>
      </c>
      <c r="D18" s="2">
        <f>IFERROR(__xludf.DUMMYFUNCTION("""COMPUTED_VALUE"""),144.76)</f>
        <v>144.76</v>
      </c>
      <c r="E18" s="2">
        <f>IFERROR(__xludf.DUMMYFUNCTION("""COMPUTED_VALUE"""),152.45)</f>
        <v>152.45</v>
      </c>
      <c r="F18" s="2">
        <f>IFERROR(__xludf.DUMMYFUNCTION("""COMPUTED_VALUE"""),4450235.0)</f>
        <v>4450235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IFERROR(__xludf.DUMMYFUNCTION("""COMPUTED_VALUE"""),150.59)</f>
        <v>150.59</v>
      </c>
      <c r="C19" s="2">
        <f>IFERROR(__xludf.DUMMYFUNCTION("""COMPUTED_VALUE"""),161.32)</f>
        <v>161.32</v>
      </c>
      <c r="D19" s="2">
        <f>IFERROR(__xludf.DUMMYFUNCTION("""COMPUTED_VALUE"""),150.38)</f>
        <v>150.38</v>
      </c>
      <c r="E19" s="2">
        <f>IFERROR(__xludf.DUMMYFUNCTION("""COMPUTED_VALUE"""),159.36)</f>
        <v>159.36</v>
      </c>
      <c r="F19" s="2">
        <f>IFERROR(__xludf.DUMMYFUNCTION("""COMPUTED_VALUE"""),1.1486765E7)</f>
        <v>11486765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IFERROR(__xludf.DUMMYFUNCTION("""COMPUTED_VALUE"""),156.78)</f>
        <v>156.78</v>
      </c>
      <c r="C20" s="2">
        <f>IFERROR(__xludf.DUMMYFUNCTION("""COMPUTED_VALUE"""),159.73)</f>
        <v>159.73</v>
      </c>
      <c r="D20" s="2">
        <f>IFERROR(__xludf.DUMMYFUNCTION("""COMPUTED_VALUE"""),152.81)</f>
        <v>152.81</v>
      </c>
      <c r="E20" s="2">
        <f>IFERROR(__xludf.DUMMYFUNCTION("""COMPUTED_VALUE"""),152.92)</f>
        <v>152.92</v>
      </c>
      <c r="F20" s="2">
        <f>IFERROR(__xludf.DUMMYFUNCTION("""COMPUTED_VALUE"""),4239451.0)</f>
        <v>4239451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IFERROR(__xludf.DUMMYFUNCTION("""COMPUTED_VALUE"""),153.77)</f>
        <v>153.77</v>
      </c>
      <c r="C21" s="2">
        <f>IFERROR(__xludf.DUMMYFUNCTION("""COMPUTED_VALUE"""),157.25)</f>
        <v>157.25</v>
      </c>
      <c r="D21" s="2">
        <f>IFERROR(__xludf.DUMMYFUNCTION("""COMPUTED_VALUE"""),151.21)</f>
        <v>151.21</v>
      </c>
      <c r="E21" s="2">
        <f>IFERROR(__xludf.DUMMYFUNCTION("""COMPUTED_VALUE"""),156.44)</f>
        <v>156.44</v>
      </c>
      <c r="F21" s="2">
        <f>IFERROR(__xludf.DUMMYFUNCTION("""COMPUTED_VALUE"""),5216153.0)</f>
        <v>5216153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IFERROR(__xludf.DUMMYFUNCTION("""COMPUTED_VALUE"""),158.59)</f>
        <v>158.59</v>
      </c>
      <c r="C22" s="2">
        <f>IFERROR(__xludf.DUMMYFUNCTION("""COMPUTED_VALUE"""),166.83)</f>
        <v>166.83</v>
      </c>
      <c r="D22" s="2">
        <f>IFERROR(__xludf.DUMMYFUNCTION("""COMPUTED_VALUE"""),155.44)</f>
        <v>155.44</v>
      </c>
      <c r="E22" s="2">
        <f>IFERROR(__xludf.DUMMYFUNCTION("""COMPUTED_VALUE"""),165.22)</f>
        <v>165.22</v>
      </c>
      <c r="F22" s="2">
        <f>IFERROR(__xludf.DUMMYFUNCTION("""COMPUTED_VALUE"""),5056080.0)</f>
        <v>5056080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IFERROR(__xludf.DUMMYFUNCTION("""COMPUTED_VALUE"""),173.84)</f>
        <v>173.84</v>
      </c>
      <c r="C23" s="2">
        <f>IFERROR(__xludf.DUMMYFUNCTION("""COMPUTED_VALUE"""),178.7)</f>
        <v>178.7</v>
      </c>
      <c r="D23" s="2">
        <f>IFERROR(__xludf.DUMMYFUNCTION("""COMPUTED_VALUE"""),170.26)</f>
        <v>170.26</v>
      </c>
      <c r="E23" s="2">
        <f>IFERROR(__xludf.DUMMYFUNCTION("""COMPUTED_VALUE"""),178.05)</f>
        <v>178.05</v>
      </c>
      <c r="F23" s="2">
        <f>IFERROR(__xludf.DUMMYFUNCTION("""COMPUTED_VALUE"""),8578224.0)</f>
        <v>8578224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IFERROR(__xludf.DUMMYFUNCTION("""COMPUTED_VALUE"""),168.0)</f>
        <v>168</v>
      </c>
      <c r="C24" s="2">
        <f>IFERROR(__xludf.DUMMYFUNCTION("""COMPUTED_VALUE"""),175.49)</f>
        <v>175.49</v>
      </c>
      <c r="D24" s="2">
        <f>IFERROR(__xludf.DUMMYFUNCTION("""COMPUTED_VALUE"""),163.0)</f>
        <v>163</v>
      </c>
      <c r="E24" s="2">
        <f>IFERROR(__xludf.DUMMYFUNCTION("""COMPUTED_VALUE"""),163.29)</f>
        <v>163.29</v>
      </c>
      <c r="F24" s="2">
        <f>IFERROR(__xludf.DUMMYFUNCTION("""COMPUTED_VALUE"""),7312943.0)</f>
        <v>7312943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IFERROR(__xludf.DUMMYFUNCTION("""COMPUTED_VALUE"""),159.74)</f>
        <v>159.74</v>
      </c>
      <c r="C25" s="2">
        <f>IFERROR(__xludf.DUMMYFUNCTION("""COMPUTED_VALUE"""),163.52)</f>
        <v>163.52</v>
      </c>
      <c r="D25" s="2">
        <f>IFERROR(__xludf.DUMMYFUNCTION("""COMPUTED_VALUE"""),156.79)</f>
        <v>156.79</v>
      </c>
      <c r="E25" s="2">
        <f>IFERROR(__xludf.DUMMYFUNCTION("""COMPUTED_VALUE"""),158.07)</f>
        <v>158.07</v>
      </c>
      <c r="F25" s="2">
        <f>IFERROR(__xludf.DUMMYFUNCTION("""COMPUTED_VALUE"""),5708704.0)</f>
        <v>5708704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IFERROR(__xludf.DUMMYFUNCTION("""COMPUTED_VALUE"""),157.93)</f>
        <v>157.93</v>
      </c>
      <c r="C26" s="2">
        <f>IFERROR(__xludf.DUMMYFUNCTION("""COMPUTED_VALUE"""),161.5)</f>
        <v>161.5</v>
      </c>
      <c r="D26" s="2">
        <f>IFERROR(__xludf.DUMMYFUNCTION("""COMPUTED_VALUE"""),154.42)</f>
        <v>154.42</v>
      </c>
      <c r="E26" s="2">
        <f>IFERROR(__xludf.DUMMYFUNCTION("""COMPUTED_VALUE"""),160.77)</f>
        <v>160.77</v>
      </c>
      <c r="F26" s="2">
        <f>IFERROR(__xludf.DUMMYFUNCTION("""COMPUTED_VALUE"""),5343248.0)</f>
        <v>5343248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IFERROR(__xludf.DUMMYFUNCTION("""COMPUTED_VALUE"""),161.26)</f>
        <v>161.26</v>
      </c>
      <c r="C27" s="2">
        <f>IFERROR(__xludf.DUMMYFUNCTION("""COMPUTED_VALUE"""),165.0)</f>
        <v>165</v>
      </c>
      <c r="D27" s="2">
        <f>IFERROR(__xludf.DUMMYFUNCTION("""COMPUTED_VALUE"""),158.04)</f>
        <v>158.04</v>
      </c>
      <c r="E27" s="2">
        <f>IFERROR(__xludf.DUMMYFUNCTION("""COMPUTED_VALUE"""),159.06)</f>
        <v>159.06</v>
      </c>
      <c r="F27" s="2">
        <f>IFERROR(__xludf.DUMMYFUNCTION("""COMPUTED_VALUE"""),3845306.0)</f>
        <v>3845306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IFERROR(__xludf.DUMMYFUNCTION("""COMPUTED_VALUE"""),161.94)</f>
        <v>161.94</v>
      </c>
      <c r="C28" s="2">
        <f>IFERROR(__xludf.DUMMYFUNCTION("""COMPUTED_VALUE"""),166.72)</f>
        <v>166.72</v>
      </c>
      <c r="D28" s="2">
        <f>IFERROR(__xludf.DUMMYFUNCTION("""COMPUTED_VALUE"""),161.27)</f>
        <v>161.27</v>
      </c>
      <c r="E28" s="2">
        <f>IFERROR(__xludf.DUMMYFUNCTION("""COMPUTED_VALUE"""),162.68)</f>
        <v>162.68</v>
      </c>
      <c r="F28" s="2">
        <f>IFERROR(__xludf.DUMMYFUNCTION("""COMPUTED_VALUE"""),4534121.0)</f>
        <v>4534121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IFERROR(__xludf.DUMMYFUNCTION("""COMPUTED_VALUE"""),159.66)</f>
        <v>159.66</v>
      </c>
      <c r="C29" s="2">
        <f>IFERROR(__xludf.DUMMYFUNCTION("""COMPUTED_VALUE"""),162.01)</f>
        <v>162.01</v>
      </c>
      <c r="D29" s="2">
        <f>IFERROR(__xludf.DUMMYFUNCTION("""COMPUTED_VALUE"""),154.73)</f>
        <v>154.73</v>
      </c>
      <c r="E29" s="2">
        <f>IFERROR(__xludf.DUMMYFUNCTION("""COMPUTED_VALUE"""),157.33)</f>
        <v>157.33</v>
      </c>
      <c r="F29" s="2">
        <f>IFERROR(__xludf.DUMMYFUNCTION("""COMPUTED_VALUE"""),4156649.0)</f>
        <v>4156649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IFERROR(__xludf.DUMMYFUNCTION("""COMPUTED_VALUE"""),158.5)</f>
        <v>158.5</v>
      </c>
      <c r="C30" s="2">
        <f>IFERROR(__xludf.DUMMYFUNCTION("""COMPUTED_VALUE"""),165.06)</f>
        <v>165.06</v>
      </c>
      <c r="D30" s="2">
        <f>IFERROR(__xludf.DUMMYFUNCTION("""COMPUTED_VALUE"""),157.05)</f>
        <v>157.05</v>
      </c>
      <c r="E30" s="2">
        <f>IFERROR(__xludf.DUMMYFUNCTION("""COMPUTED_VALUE"""),161.96)</f>
        <v>161.96</v>
      </c>
      <c r="F30" s="2">
        <f>IFERROR(__xludf.DUMMYFUNCTION("""COMPUTED_VALUE"""),3615724.0)</f>
        <v>3615724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IFERROR(__xludf.DUMMYFUNCTION("""COMPUTED_VALUE"""),159.97)</f>
        <v>159.97</v>
      </c>
      <c r="C31" s="2">
        <f>IFERROR(__xludf.DUMMYFUNCTION("""COMPUTED_VALUE"""),171.94)</f>
        <v>171.94</v>
      </c>
      <c r="D31" s="2">
        <f>IFERROR(__xludf.DUMMYFUNCTION("""COMPUTED_VALUE"""),158.24)</f>
        <v>158.24</v>
      </c>
      <c r="E31" s="2">
        <f>IFERROR(__xludf.DUMMYFUNCTION("""COMPUTED_VALUE"""),171.02)</f>
        <v>171.02</v>
      </c>
      <c r="F31" s="2">
        <f>IFERROR(__xludf.DUMMYFUNCTION("""COMPUTED_VALUE"""),4994848.0)</f>
        <v>4994848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IFERROR(__xludf.DUMMYFUNCTION("""COMPUTED_VALUE"""),171.4)</f>
        <v>171.4</v>
      </c>
      <c r="C32" s="2">
        <f>IFERROR(__xludf.DUMMYFUNCTION("""COMPUTED_VALUE"""),175.95)</f>
        <v>175.95</v>
      </c>
      <c r="D32" s="2">
        <f>IFERROR(__xludf.DUMMYFUNCTION("""COMPUTED_VALUE"""),170.07)</f>
        <v>170.07</v>
      </c>
      <c r="E32" s="2">
        <f>IFERROR(__xludf.DUMMYFUNCTION("""COMPUTED_VALUE"""),175.28)</f>
        <v>175.28</v>
      </c>
      <c r="F32" s="2">
        <f>IFERROR(__xludf.DUMMYFUNCTION("""COMPUTED_VALUE"""),4445096.0)</f>
        <v>4445096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IFERROR(__xludf.DUMMYFUNCTION("""COMPUTED_VALUE"""),171.0)</f>
        <v>171</v>
      </c>
      <c r="C33" s="2">
        <f>IFERROR(__xludf.DUMMYFUNCTION("""COMPUTED_VALUE"""),172.72)</f>
        <v>172.72</v>
      </c>
      <c r="D33" s="2">
        <f>IFERROR(__xludf.DUMMYFUNCTION("""COMPUTED_VALUE"""),163.92)</f>
        <v>163.92</v>
      </c>
      <c r="E33" s="2">
        <f>IFERROR(__xludf.DUMMYFUNCTION("""COMPUTED_VALUE"""),164.4)</f>
        <v>164.4</v>
      </c>
      <c r="F33" s="2">
        <f>IFERROR(__xludf.DUMMYFUNCTION("""COMPUTED_VALUE"""),4784586.0)</f>
        <v>4784586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IFERROR(__xludf.DUMMYFUNCTION("""COMPUTED_VALUE"""),160.5)</f>
        <v>160.5</v>
      </c>
      <c r="C34" s="2">
        <f>IFERROR(__xludf.DUMMYFUNCTION("""COMPUTED_VALUE"""),160.77)</f>
        <v>160.77</v>
      </c>
      <c r="D34" s="2">
        <f>IFERROR(__xludf.DUMMYFUNCTION("""COMPUTED_VALUE"""),151.55)</f>
        <v>151.55</v>
      </c>
      <c r="E34" s="2">
        <f>IFERROR(__xludf.DUMMYFUNCTION("""COMPUTED_VALUE"""),154.08)</f>
        <v>154.08</v>
      </c>
      <c r="F34" s="2">
        <f>IFERROR(__xludf.DUMMYFUNCTION("""COMPUTED_VALUE"""),7951490.0)</f>
        <v>7951490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IFERROR(__xludf.DUMMYFUNCTION("""COMPUTED_VALUE"""),150.6)</f>
        <v>150.6</v>
      </c>
      <c r="C35" s="2">
        <f>IFERROR(__xludf.DUMMYFUNCTION("""COMPUTED_VALUE"""),155.0)</f>
        <v>155</v>
      </c>
      <c r="D35" s="2">
        <f>IFERROR(__xludf.DUMMYFUNCTION("""COMPUTED_VALUE"""),150.08)</f>
        <v>150.08</v>
      </c>
      <c r="E35" s="2">
        <f>IFERROR(__xludf.DUMMYFUNCTION("""COMPUTED_VALUE"""),151.26)</f>
        <v>151.26</v>
      </c>
      <c r="F35" s="2">
        <f>IFERROR(__xludf.DUMMYFUNCTION("""COMPUTED_VALUE"""),3410995.0)</f>
        <v>3410995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IFERROR(__xludf.DUMMYFUNCTION("""COMPUTED_VALUE"""),149.5)</f>
        <v>149.5</v>
      </c>
      <c r="C36" s="2">
        <f>IFERROR(__xludf.DUMMYFUNCTION("""COMPUTED_VALUE"""),155.38)</f>
        <v>155.38</v>
      </c>
      <c r="D36" s="2">
        <f>IFERROR(__xludf.DUMMYFUNCTION("""COMPUTED_VALUE"""),149.5)</f>
        <v>149.5</v>
      </c>
      <c r="E36" s="2">
        <f>IFERROR(__xludf.DUMMYFUNCTION("""COMPUTED_VALUE"""),150.66)</f>
        <v>150.66</v>
      </c>
      <c r="F36" s="2">
        <f>IFERROR(__xludf.DUMMYFUNCTION("""COMPUTED_VALUE"""),4101858.0)</f>
        <v>4101858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IFERROR(__xludf.DUMMYFUNCTION("""COMPUTED_VALUE"""),153.5)</f>
        <v>153.5</v>
      </c>
      <c r="C37" s="2">
        <f>IFERROR(__xludf.DUMMYFUNCTION("""COMPUTED_VALUE"""),154.09)</f>
        <v>154.09</v>
      </c>
      <c r="D37" s="2">
        <f>IFERROR(__xludf.DUMMYFUNCTION("""COMPUTED_VALUE"""),147.75)</f>
        <v>147.75</v>
      </c>
      <c r="E37" s="2">
        <f>IFERROR(__xludf.DUMMYFUNCTION("""COMPUTED_VALUE"""),153.12)</f>
        <v>153.12</v>
      </c>
      <c r="F37" s="2">
        <f>IFERROR(__xludf.DUMMYFUNCTION("""COMPUTED_VALUE"""),4105824.0)</f>
        <v>4105824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IFERROR(__xludf.DUMMYFUNCTION("""COMPUTED_VALUE"""),149.85)</f>
        <v>149.85</v>
      </c>
      <c r="C38" s="2">
        <f>IFERROR(__xludf.DUMMYFUNCTION("""COMPUTED_VALUE"""),150.75)</f>
        <v>150.75</v>
      </c>
      <c r="D38" s="2">
        <f>IFERROR(__xludf.DUMMYFUNCTION("""COMPUTED_VALUE"""),145.28)</f>
        <v>145.28</v>
      </c>
      <c r="E38" s="2">
        <f>IFERROR(__xludf.DUMMYFUNCTION("""COMPUTED_VALUE"""),148.44)</f>
        <v>148.44</v>
      </c>
      <c r="F38" s="2">
        <f>IFERROR(__xludf.DUMMYFUNCTION("""COMPUTED_VALUE"""),3791718.0)</f>
        <v>3791718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IFERROR(__xludf.DUMMYFUNCTION("""COMPUTED_VALUE"""),150.2)</f>
        <v>150.2</v>
      </c>
      <c r="C39" s="2">
        <f>IFERROR(__xludf.DUMMYFUNCTION("""COMPUTED_VALUE"""),154.7)</f>
        <v>154.7</v>
      </c>
      <c r="D39" s="2">
        <f>IFERROR(__xludf.DUMMYFUNCTION("""COMPUTED_VALUE"""),148.58)</f>
        <v>148.58</v>
      </c>
      <c r="E39" s="2">
        <f>IFERROR(__xludf.DUMMYFUNCTION("""COMPUTED_VALUE"""),154.65)</f>
        <v>154.65</v>
      </c>
      <c r="F39" s="2">
        <f>IFERROR(__xludf.DUMMYFUNCTION("""COMPUTED_VALUE"""),4499976.0)</f>
        <v>4499976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IFERROR(__xludf.DUMMYFUNCTION("""COMPUTED_VALUE"""),154.68)</f>
        <v>154.68</v>
      </c>
      <c r="C40" s="2">
        <f>IFERROR(__xludf.DUMMYFUNCTION("""COMPUTED_VALUE"""),155.72)</f>
        <v>155.72</v>
      </c>
      <c r="D40" s="2">
        <f>IFERROR(__xludf.DUMMYFUNCTION("""COMPUTED_VALUE"""),152.93)</f>
        <v>152.93</v>
      </c>
      <c r="E40" s="2">
        <f>IFERROR(__xludf.DUMMYFUNCTION("""COMPUTED_VALUE"""),154.38)</f>
        <v>154.38</v>
      </c>
      <c r="F40" s="2">
        <f>IFERROR(__xludf.DUMMYFUNCTION("""COMPUTED_VALUE"""),4395010.0)</f>
        <v>4395010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IFERROR(__xludf.DUMMYFUNCTION("""COMPUTED_VALUE"""),154.22)</f>
        <v>154.22</v>
      </c>
      <c r="C41" s="2">
        <f>IFERROR(__xludf.DUMMYFUNCTION("""COMPUTED_VALUE"""),156.65)</f>
        <v>156.65</v>
      </c>
      <c r="D41" s="2">
        <f>IFERROR(__xludf.DUMMYFUNCTION("""COMPUTED_VALUE"""),153.0)</f>
        <v>153</v>
      </c>
      <c r="E41" s="2">
        <f>IFERROR(__xludf.DUMMYFUNCTION("""COMPUTED_VALUE"""),154.5)</f>
        <v>154.5</v>
      </c>
      <c r="F41" s="2">
        <f>IFERROR(__xludf.DUMMYFUNCTION("""COMPUTED_VALUE"""),8186394.0)</f>
        <v>8186394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IFERROR(__xludf.DUMMYFUNCTION("""COMPUTED_VALUE"""),139.04)</f>
        <v>139.04</v>
      </c>
      <c r="C42" s="2">
        <f>IFERROR(__xludf.DUMMYFUNCTION("""COMPUTED_VALUE"""),140.15)</f>
        <v>140.15</v>
      </c>
      <c r="D42" s="2">
        <f>IFERROR(__xludf.DUMMYFUNCTION("""COMPUTED_VALUE"""),131.12)</f>
        <v>131.12</v>
      </c>
      <c r="E42" s="2">
        <f>IFERROR(__xludf.DUMMYFUNCTION("""COMPUTED_VALUE"""),135.28)</f>
        <v>135.28</v>
      </c>
      <c r="F42" s="2">
        <f>IFERROR(__xludf.DUMMYFUNCTION("""COMPUTED_VALUE"""),2.5866458E7)</f>
        <v>25866458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IFERROR(__xludf.DUMMYFUNCTION("""COMPUTED_VALUE"""),135.51)</f>
        <v>135.51</v>
      </c>
      <c r="C43" s="2">
        <f>IFERROR(__xludf.DUMMYFUNCTION("""COMPUTED_VALUE"""),143.33)</f>
        <v>143.33</v>
      </c>
      <c r="D43" s="2">
        <f>IFERROR(__xludf.DUMMYFUNCTION("""COMPUTED_VALUE"""),135.5)</f>
        <v>135.5</v>
      </c>
      <c r="E43" s="2">
        <f>IFERROR(__xludf.DUMMYFUNCTION("""COMPUTED_VALUE"""),142.11)</f>
        <v>142.11</v>
      </c>
      <c r="F43" s="2">
        <f>IFERROR(__xludf.DUMMYFUNCTION("""COMPUTED_VALUE"""),9894354.0)</f>
        <v>9894354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IFERROR(__xludf.DUMMYFUNCTION("""COMPUTED_VALUE"""),142.65)</f>
        <v>142.65</v>
      </c>
      <c r="C44" s="2">
        <f>IFERROR(__xludf.DUMMYFUNCTION("""COMPUTED_VALUE"""),146.74)</f>
        <v>146.74</v>
      </c>
      <c r="D44" s="2">
        <f>IFERROR(__xludf.DUMMYFUNCTION("""COMPUTED_VALUE"""),140.85)</f>
        <v>140.85</v>
      </c>
      <c r="E44" s="2">
        <f>IFERROR(__xludf.DUMMYFUNCTION("""COMPUTED_VALUE"""),142.07)</f>
        <v>142.07</v>
      </c>
      <c r="F44" s="2">
        <f>IFERROR(__xludf.DUMMYFUNCTION("""COMPUTED_VALUE"""),5419188.0)</f>
        <v>5419188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IFERROR(__xludf.DUMMYFUNCTION("""COMPUTED_VALUE"""),141.0)</f>
        <v>141</v>
      </c>
      <c r="C45" s="2">
        <f>IFERROR(__xludf.DUMMYFUNCTION("""COMPUTED_VALUE"""),146.19)</f>
        <v>146.19</v>
      </c>
      <c r="D45" s="2">
        <f>IFERROR(__xludf.DUMMYFUNCTION("""COMPUTED_VALUE"""),140.1)</f>
        <v>140.1</v>
      </c>
      <c r="E45" s="2">
        <f>IFERROR(__xludf.DUMMYFUNCTION("""COMPUTED_VALUE"""),142.45)</f>
        <v>142.45</v>
      </c>
      <c r="F45" s="2">
        <f>IFERROR(__xludf.DUMMYFUNCTION("""COMPUTED_VALUE"""),4371918.0)</f>
        <v>4371918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IFERROR(__xludf.DUMMYFUNCTION("""COMPUTED_VALUE"""),140.23)</f>
        <v>140.23</v>
      </c>
      <c r="C46" s="2">
        <f>IFERROR(__xludf.DUMMYFUNCTION("""COMPUTED_VALUE"""),144.38)</f>
        <v>144.38</v>
      </c>
      <c r="D46" s="2">
        <f>IFERROR(__xludf.DUMMYFUNCTION("""COMPUTED_VALUE"""),139.29)</f>
        <v>139.29</v>
      </c>
      <c r="E46" s="2">
        <f>IFERROR(__xludf.DUMMYFUNCTION("""COMPUTED_VALUE"""),142.65)</f>
        <v>142.65</v>
      </c>
      <c r="F46" s="2">
        <f>IFERROR(__xludf.DUMMYFUNCTION("""COMPUTED_VALUE"""),3831703.0)</f>
        <v>3831703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IFERROR(__xludf.DUMMYFUNCTION("""COMPUTED_VALUE"""),141.38)</f>
        <v>141.38</v>
      </c>
      <c r="C47" s="2">
        <f>IFERROR(__xludf.DUMMYFUNCTION("""COMPUTED_VALUE"""),144.1)</f>
        <v>144.1</v>
      </c>
      <c r="D47" s="2">
        <f>IFERROR(__xludf.DUMMYFUNCTION("""COMPUTED_VALUE"""),136.05)</f>
        <v>136.05</v>
      </c>
      <c r="E47" s="2">
        <f>IFERROR(__xludf.DUMMYFUNCTION("""COMPUTED_VALUE"""),136.3)</f>
        <v>136.3</v>
      </c>
      <c r="F47" s="2">
        <f>IFERROR(__xludf.DUMMYFUNCTION("""COMPUTED_VALUE"""),5078181.0)</f>
        <v>5078181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IFERROR(__xludf.DUMMYFUNCTION("""COMPUTED_VALUE"""),135.02)</f>
        <v>135.02</v>
      </c>
      <c r="C48" s="2">
        <f>IFERROR(__xludf.DUMMYFUNCTION("""COMPUTED_VALUE"""),135.79)</f>
        <v>135.79</v>
      </c>
      <c r="D48" s="2">
        <f>IFERROR(__xludf.DUMMYFUNCTION("""COMPUTED_VALUE"""),128.56)</f>
        <v>128.56</v>
      </c>
      <c r="E48" s="2">
        <f>IFERROR(__xludf.DUMMYFUNCTION("""COMPUTED_VALUE"""),131.46)</f>
        <v>131.46</v>
      </c>
      <c r="F48" s="2">
        <f>IFERROR(__xludf.DUMMYFUNCTION("""COMPUTED_VALUE"""),8882289.0)</f>
        <v>8882289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IFERROR(__xludf.DUMMYFUNCTION("""COMPUTED_VALUE"""),129.98)</f>
        <v>129.98</v>
      </c>
      <c r="C49" s="2">
        <f>IFERROR(__xludf.DUMMYFUNCTION("""COMPUTED_VALUE"""),140.46)</f>
        <v>140.46</v>
      </c>
      <c r="D49" s="2">
        <f>IFERROR(__xludf.DUMMYFUNCTION("""COMPUTED_VALUE"""),128.76)</f>
        <v>128.76</v>
      </c>
      <c r="E49" s="2">
        <f>IFERROR(__xludf.DUMMYFUNCTION("""COMPUTED_VALUE"""),137.73)</f>
        <v>137.73</v>
      </c>
      <c r="F49" s="2">
        <f>IFERROR(__xludf.DUMMYFUNCTION("""COMPUTED_VALUE"""),7589634.0)</f>
        <v>7589634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IFERROR(__xludf.DUMMYFUNCTION("""COMPUTED_VALUE"""),138.64)</f>
        <v>138.64</v>
      </c>
      <c r="C50" s="2">
        <f>IFERROR(__xludf.DUMMYFUNCTION("""COMPUTED_VALUE"""),140.08)</f>
        <v>140.08</v>
      </c>
      <c r="D50" s="2">
        <f>IFERROR(__xludf.DUMMYFUNCTION("""COMPUTED_VALUE"""),134.88)</f>
        <v>134.88</v>
      </c>
      <c r="E50" s="2">
        <f>IFERROR(__xludf.DUMMYFUNCTION("""COMPUTED_VALUE"""),139.82)</f>
        <v>139.82</v>
      </c>
      <c r="F50" s="2">
        <f>IFERROR(__xludf.DUMMYFUNCTION("""COMPUTED_VALUE"""),6550384.0)</f>
        <v>6550384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IFERROR(__xludf.DUMMYFUNCTION("""COMPUTED_VALUE"""),136.28)</f>
        <v>136.28</v>
      </c>
      <c r="C51" s="2">
        <f>IFERROR(__xludf.DUMMYFUNCTION("""COMPUTED_VALUE"""),140.17)</f>
        <v>140.17</v>
      </c>
      <c r="D51" s="2">
        <f>IFERROR(__xludf.DUMMYFUNCTION("""COMPUTED_VALUE"""),135.3)</f>
        <v>135.3</v>
      </c>
      <c r="E51" s="2">
        <f>IFERROR(__xludf.DUMMYFUNCTION("""COMPUTED_VALUE"""),139.58)</f>
        <v>139.58</v>
      </c>
      <c r="F51" s="2">
        <f>IFERROR(__xludf.DUMMYFUNCTION("""COMPUTED_VALUE"""),4008229.0)</f>
        <v>4008229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IFERROR(__xludf.DUMMYFUNCTION("""COMPUTED_VALUE"""),140.0)</f>
        <v>140</v>
      </c>
      <c r="C52" s="2">
        <f>IFERROR(__xludf.DUMMYFUNCTION("""COMPUTED_VALUE"""),142.44)</f>
        <v>142.44</v>
      </c>
      <c r="D52" s="2">
        <f>IFERROR(__xludf.DUMMYFUNCTION("""COMPUTED_VALUE"""),137.4)</f>
        <v>137.4</v>
      </c>
      <c r="E52" s="2">
        <f>IFERROR(__xludf.DUMMYFUNCTION("""COMPUTED_VALUE"""),138.92)</f>
        <v>138.92</v>
      </c>
      <c r="F52" s="2">
        <f>IFERROR(__xludf.DUMMYFUNCTION("""COMPUTED_VALUE"""),4689052.0)</f>
        <v>4689052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IFERROR(__xludf.DUMMYFUNCTION("""COMPUTED_VALUE"""),138.64)</f>
        <v>138.64</v>
      </c>
      <c r="C53" s="2">
        <f>IFERROR(__xludf.DUMMYFUNCTION("""COMPUTED_VALUE"""),139.44)</f>
        <v>139.44</v>
      </c>
      <c r="D53" s="2">
        <f>IFERROR(__xludf.DUMMYFUNCTION("""COMPUTED_VALUE"""),133.56)</f>
        <v>133.56</v>
      </c>
      <c r="E53" s="2">
        <f>IFERROR(__xludf.DUMMYFUNCTION("""COMPUTED_VALUE"""),135.62)</f>
        <v>135.62</v>
      </c>
      <c r="F53" s="2">
        <f>IFERROR(__xludf.DUMMYFUNCTION("""COMPUTED_VALUE"""),5409629.0)</f>
        <v>5409629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IFERROR(__xludf.DUMMYFUNCTION("""COMPUTED_VALUE"""),133.81)</f>
        <v>133.81</v>
      </c>
      <c r="C54" s="2">
        <f>IFERROR(__xludf.DUMMYFUNCTION("""COMPUTED_VALUE"""),135.58)</f>
        <v>135.58</v>
      </c>
      <c r="D54" s="2">
        <f>IFERROR(__xludf.DUMMYFUNCTION("""COMPUTED_VALUE"""),131.62)</f>
        <v>131.62</v>
      </c>
      <c r="E54" s="2">
        <f>IFERROR(__xludf.DUMMYFUNCTION("""COMPUTED_VALUE"""),135.47)</f>
        <v>135.47</v>
      </c>
      <c r="F54" s="2">
        <f>IFERROR(__xludf.DUMMYFUNCTION("""COMPUTED_VALUE"""),3577383.0)</f>
        <v>3577383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IFERROR(__xludf.DUMMYFUNCTION("""COMPUTED_VALUE"""),136.97)</f>
        <v>136.97</v>
      </c>
      <c r="C55" s="2">
        <f>IFERROR(__xludf.DUMMYFUNCTION("""COMPUTED_VALUE"""),142.29)</f>
        <v>142.29</v>
      </c>
      <c r="D55" s="2">
        <f>IFERROR(__xludf.DUMMYFUNCTION("""COMPUTED_VALUE"""),135.31)</f>
        <v>135.31</v>
      </c>
      <c r="E55" s="2">
        <f>IFERROR(__xludf.DUMMYFUNCTION("""COMPUTED_VALUE"""),141.47)</f>
        <v>141.47</v>
      </c>
      <c r="F55" s="2">
        <f>IFERROR(__xludf.DUMMYFUNCTION("""COMPUTED_VALUE"""),4402331.0)</f>
        <v>4402331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IFERROR(__xludf.DUMMYFUNCTION("""COMPUTED_VALUE"""),141.2)</f>
        <v>141.2</v>
      </c>
      <c r="C56" s="2">
        <f>IFERROR(__xludf.DUMMYFUNCTION("""COMPUTED_VALUE"""),142.8)</f>
        <v>142.8</v>
      </c>
      <c r="D56" s="2">
        <f>IFERROR(__xludf.DUMMYFUNCTION("""COMPUTED_VALUE"""),135.48)</f>
        <v>135.48</v>
      </c>
      <c r="E56" s="2">
        <f>IFERROR(__xludf.DUMMYFUNCTION("""COMPUTED_VALUE"""),135.63)</f>
        <v>135.63</v>
      </c>
      <c r="F56" s="2">
        <f>IFERROR(__xludf.DUMMYFUNCTION("""COMPUTED_VALUE"""),4525711.0)</f>
        <v>4525711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IFERROR(__xludf.DUMMYFUNCTION("""COMPUTED_VALUE"""),137.99)</f>
        <v>137.99</v>
      </c>
      <c r="C57" s="2">
        <f>IFERROR(__xludf.DUMMYFUNCTION("""COMPUTED_VALUE"""),141.1)</f>
        <v>141.1</v>
      </c>
      <c r="D57" s="2">
        <f>IFERROR(__xludf.DUMMYFUNCTION("""COMPUTED_VALUE"""),135.03)</f>
        <v>135.03</v>
      </c>
      <c r="E57" s="2">
        <f>IFERROR(__xludf.DUMMYFUNCTION("""COMPUTED_VALUE"""),140.57)</f>
        <v>140.57</v>
      </c>
      <c r="F57" s="2">
        <f>IFERROR(__xludf.DUMMYFUNCTION("""COMPUTED_VALUE"""),6318822.0)</f>
        <v>6318822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IFERROR(__xludf.DUMMYFUNCTION("""COMPUTED_VALUE"""),139.3)</f>
        <v>139.3</v>
      </c>
      <c r="C58" s="2">
        <f>IFERROR(__xludf.DUMMYFUNCTION("""COMPUTED_VALUE"""),141.98)</f>
        <v>141.98</v>
      </c>
      <c r="D58" s="2">
        <f>IFERROR(__xludf.DUMMYFUNCTION("""COMPUTED_VALUE"""),135.55)</f>
        <v>135.55</v>
      </c>
      <c r="E58" s="2">
        <f>IFERROR(__xludf.DUMMYFUNCTION("""COMPUTED_VALUE"""),136.53)</f>
        <v>136.53</v>
      </c>
      <c r="F58" s="2">
        <f>IFERROR(__xludf.DUMMYFUNCTION("""COMPUTED_VALUE"""),3657496.0)</f>
        <v>3657496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IFERROR(__xludf.DUMMYFUNCTION("""COMPUTED_VALUE"""),136.49)</f>
        <v>136.49</v>
      </c>
      <c r="C59" s="2">
        <f>IFERROR(__xludf.DUMMYFUNCTION("""COMPUTED_VALUE"""),137.87)</f>
        <v>137.87</v>
      </c>
      <c r="D59" s="2">
        <f>IFERROR(__xludf.DUMMYFUNCTION("""COMPUTED_VALUE"""),134.4)</f>
        <v>134.4</v>
      </c>
      <c r="E59" s="2">
        <f>IFERROR(__xludf.DUMMYFUNCTION("""COMPUTED_VALUE"""),134.97)</f>
        <v>134.97</v>
      </c>
      <c r="F59" s="2">
        <f>IFERROR(__xludf.DUMMYFUNCTION("""COMPUTED_VALUE"""),3940424.0)</f>
        <v>3940424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IFERROR(__xludf.DUMMYFUNCTION("""COMPUTED_VALUE"""),136.0)</f>
        <v>136</v>
      </c>
      <c r="C60" s="2">
        <f>IFERROR(__xludf.DUMMYFUNCTION("""COMPUTED_VALUE"""),136.72)</f>
        <v>136.72</v>
      </c>
      <c r="D60" s="2">
        <f>IFERROR(__xludf.DUMMYFUNCTION("""COMPUTED_VALUE"""),134.17)</f>
        <v>134.17</v>
      </c>
      <c r="E60" s="2">
        <f>IFERROR(__xludf.DUMMYFUNCTION("""COMPUTED_VALUE"""),134.81)</f>
        <v>134.81</v>
      </c>
      <c r="F60" s="2">
        <f>IFERROR(__xludf.DUMMYFUNCTION("""COMPUTED_VALUE"""),2692733.0)</f>
        <v>2692733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IFERROR(__xludf.DUMMYFUNCTION("""COMPUTED_VALUE"""),136.26)</f>
        <v>136.26</v>
      </c>
      <c r="C61" s="2">
        <f>IFERROR(__xludf.DUMMYFUNCTION("""COMPUTED_VALUE"""),138.6)</f>
        <v>138.6</v>
      </c>
      <c r="D61" s="2">
        <f>IFERROR(__xludf.DUMMYFUNCTION("""COMPUTED_VALUE"""),135.6)</f>
        <v>135.6</v>
      </c>
      <c r="E61" s="2">
        <f>IFERROR(__xludf.DUMMYFUNCTION("""COMPUTED_VALUE"""),137.46)</f>
        <v>137.46</v>
      </c>
      <c r="F61" s="2">
        <f>IFERROR(__xludf.DUMMYFUNCTION("""COMPUTED_VALUE"""),4051078.0)</f>
        <v>4051078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IFERROR(__xludf.DUMMYFUNCTION("""COMPUTED_VALUE"""),139.99)</f>
        <v>139.99</v>
      </c>
      <c r="C62" s="2">
        <f>IFERROR(__xludf.DUMMYFUNCTION("""COMPUTED_VALUE"""),145.33)</f>
        <v>145.33</v>
      </c>
      <c r="D62" s="2">
        <f>IFERROR(__xludf.DUMMYFUNCTION("""COMPUTED_VALUE"""),138.76)</f>
        <v>138.76</v>
      </c>
      <c r="E62" s="2">
        <f>IFERROR(__xludf.DUMMYFUNCTION("""COMPUTED_VALUE"""),142.11)</f>
        <v>142.11</v>
      </c>
      <c r="F62" s="2">
        <f>IFERROR(__xludf.DUMMYFUNCTION("""COMPUTED_VALUE"""),5171853.0)</f>
        <v>5171853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IFERROR(__xludf.DUMMYFUNCTION("""COMPUTED_VALUE"""),142.81)</f>
        <v>142.81</v>
      </c>
      <c r="C63" s="2">
        <f>IFERROR(__xludf.DUMMYFUNCTION("""COMPUTED_VALUE"""),154.44)</f>
        <v>154.44</v>
      </c>
      <c r="D63" s="2">
        <f>IFERROR(__xludf.DUMMYFUNCTION("""COMPUTED_VALUE"""),141.83)</f>
        <v>141.83</v>
      </c>
      <c r="E63" s="2">
        <f>IFERROR(__xludf.DUMMYFUNCTION("""COMPUTED_VALUE"""),154.29)</f>
        <v>154.29</v>
      </c>
      <c r="F63" s="2">
        <f>IFERROR(__xludf.DUMMYFUNCTION("""COMPUTED_VALUE"""),8611582.0)</f>
        <v>8611582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IFERROR(__xludf.DUMMYFUNCTION("""COMPUTED_VALUE"""),152.78)</f>
        <v>152.78</v>
      </c>
      <c r="C64" s="2">
        <f>IFERROR(__xludf.DUMMYFUNCTION("""COMPUTED_VALUE"""),154.25)</f>
        <v>154.25</v>
      </c>
      <c r="D64" s="2">
        <f>IFERROR(__xludf.DUMMYFUNCTION("""COMPUTED_VALUE"""),148.72)</f>
        <v>148.72</v>
      </c>
      <c r="E64" s="2">
        <f>IFERROR(__xludf.DUMMYFUNCTION("""COMPUTED_VALUE"""),150.0)</f>
        <v>150</v>
      </c>
      <c r="F64" s="2">
        <f>IFERROR(__xludf.DUMMYFUNCTION("""COMPUTED_VALUE"""),4290127.0)</f>
        <v>4290127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IFERROR(__xludf.DUMMYFUNCTION("""COMPUTED_VALUE"""),151.0)</f>
        <v>151</v>
      </c>
      <c r="C65" s="2">
        <f>IFERROR(__xludf.DUMMYFUNCTION("""COMPUTED_VALUE"""),158.0)</f>
        <v>158</v>
      </c>
      <c r="D65" s="2">
        <f>IFERROR(__xludf.DUMMYFUNCTION("""COMPUTED_VALUE"""),150.75)</f>
        <v>150.75</v>
      </c>
      <c r="E65" s="2">
        <f>IFERROR(__xludf.DUMMYFUNCTION("""COMPUTED_VALUE"""),155.43)</f>
        <v>155.43</v>
      </c>
      <c r="F65" s="2">
        <f>IFERROR(__xludf.DUMMYFUNCTION("""COMPUTED_VALUE"""),9213654.0)</f>
        <v>9213654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IFERROR(__xludf.DUMMYFUNCTION("""COMPUTED_VALUE"""),154.83)</f>
        <v>154.83</v>
      </c>
      <c r="C66" s="2">
        <f>IFERROR(__xludf.DUMMYFUNCTION("""COMPUTED_VALUE"""),156.04)</f>
        <v>156.04</v>
      </c>
      <c r="D66" s="2">
        <f>IFERROR(__xludf.DUMMYFUNCTION("""COMPUTED_VALUE"""),144.14)</f>
        <v>144.14</v>
      </c>
      <c r="E66" s="2">
        <f>IFERROR(__xludf.DUMMYFUNCTION("""COMPUTED_VALUE"""),146.48)</f>
        <v>146.48</v>
      </c>
      <c r="F66" s="2">
        <f>IFERROR(__xludf.DUMMYFUNCTION("""COMPUTED_VALUE"""),5422068.0)</f>
        <v>5422068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IFERROR(__xludf.DUMMYFUNCTION("""COMPUTED_VALUE"""),144.59)</f>
        <v>144.59</v>
      </c>
      <c r="C67" s="2">
        <f>IFERROR(__xludf.DUMMYFUNCTION("""COMPUTED_VALUE"""),146.06)</f>
        <v>146.06</v>
      </c>
      <c r="D67" s="2">
        <f>IFERROR(__xludf.DUMMYFUNCTION("""COMPUTED_VALUE"""),140.88)</f>
        <v>140.88</v>
      </c>
      <c r="E67" s="2">
        <f>IFERROR(__xludf.DUMMYFUNCTION("""COMPUTED_VALUE"""),145.68)</f>
        <v>145.68</v>
      </c>
      <c r="F67" s="2">
        <f>IFERROR(__xludf.DUMMYFUNCTION("""COMPUTED_VALUE"""),3326902.0)</f>
        <v>3326902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IFERROR(__xludf.DUMMYFUNCTION("""COMPUTED_VALUE"""),143.34)</f>
        <v>143.34</v>
      </c>
      <c r="C68" s="2">
        <f>IFERROR(__xludf.DUMMYFUNCTION("""COMPUTED_VALUE"""),147.99)</f>
        <v>147.99</v>
      </c>
      <c r="D68" s="2">
        <f>IFERROR(__xludf.DUMMYFUNCTION("""COMPUTED_VALUE"""),141.6)</f>
        <v>141.6</v>
      </c>
      <c r="E68" s="2">
        <f>IFERROR(__xludf.DUMMYFUNCTION("""COMPUTED_VALUE"""),147.77)</f>
        <v>147.77</v>
      </c>
      <c r="F68" s="2">
        <f>IFERROR(__xludf.DUMMYFUNCTION("""COMPUTED_VALUE"""),3484912.0)</f>
        <v>3484912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IFERROR(__xludf.DUMMYFUNCTION("""COMPUTED_VALUE"""),139.68)</f>
        <v>139.68</v>
      </c>
      <c r="C69" s="2">
        <f>IFERROR(__xludf.DUMMYFUNCTION("""COMPUTED_VALUE"""),142.4)</f>
        <v>142.4</v>
      </c>
      <c r="D69" s="2">
        <f>IFERROR(__xludf.DUMMYFUNCTION("""COMPUTED_VALUE"""),136.59)</f>
        <v>136.59</v>
      </c>
      <c r="E69" s="2">
        <f>IFERROR(__xludf.DUMMYFUNCTION("""COMPUTED_VALUE"""),139.19)</f>
        <v>139.19</v>
      </c>
      <c r="F69" s="2">
        <f>IFERROR(__xludf.DUMMYFUNCTION("""COMPUTED_VALUE"""),1.0945816E7)</f>
        <v>10945816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IFERROR(__xludf.DUMMYFUNCTION("""COMPUTED_VALUE"""),141.9)</f>
        <v>141.9</v>
      </c>
      <c r="C70" s="2">
        <f>IFERROR(__xludf.DUMMYFUNCTION("""COMPUTED_VALUE"""),144.5)</f>
        <v>144.5</v>
      </c>
      <c r="D70" s="2">
        <f>IFERROR(__xludf.DUMMYFUNCTION("""COMPUTED_VALUE"""),139.32)</f>
        <v>139.32</v>
      </c>
      <c r="E70" s="2">
        <f>IFERROR(__xludf.DUMMYFUNCTION("""COMPUTED_VALUE"""),139.66)</f>
        <v>139.66</v>
      </c>
      <c r="F70" s="2">
        <f>IFERROR(__xludf.DUMMYFUNCTION("""COMPUTED_VALUE"""),6993540.0)</f>
        <v>6993540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IFERROR(__xludf.DUMMYFUNCTION("""COMPUTED_VALUE"""),141.09)</f>
        <v>141.09</v>
      </c>
      <c r="C71" s="2">
        <f>IFERROR(__xludf.DUMMYFUNCTION("""COMPUTED_VALUE"""),144.55)</f>
        <v>144.55</v>
      </c>
      <c r="D71" s="2">
        <f>IFERROR(__xludf.DUMMYFUNCTION("""COMPUTED_VALUE"""),140.55)</f>
        <v>140.55</v>
      </c>
      <c r="E71" s="2">
        <f>IFERROR(__xludf.DUMMYFUNCTION("""COMPUTED_VALUE"""),141.38)</f>
        <v>141.38</v>
      </c>
      <c r="F71" s="2">
        <f>IFERROR(__xludf.DUMMYFUNCTION("""COMPUTED_VALUE"""),4832512.0)</f>
        <v>4832512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IFERROR(__xludf.DUMMYFUNCTION("""COMPUTED_VALUE"""),140.0)</f>
        <v>140</v>
      </c>
      <c r="C72" s="2">
        <f>IFERROR(__xludf.DUMMYFUNCTION("""COMPUTED_VALUE"""),142.2)</f>
        <v>142.2</v>
      </c>
      <c r="D72" s="2">
        <f>IFERROR(__xludf.DUMMYFUNCTION("""COMPUTED_VALUE"""),138.31)</f>
        <v>138.31</v>
      </c>
      <c r="E72" s="2">
        <f>IFERROR(__xludf.DUMMYFUNCTION("""COMPUTED_VALUE"""),142.13)</f>
        <v>142.13</v>
      </c>
      <c r="F72" s="2">
        <f>IFERROR(__xludf.DUMMYFUNCTION("""COMPUTED_VALUE"""),5472627.0)</f>
        <v>5472627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IFERROR(__xludf.DUMMYFUNCTION("""COMPUTED_VALUE"""),142.13)</f>
        <v>142.13</v>
      </c>
      <c r="C73" s="2">
        <f>IFERROR(__xludf.DUMMYFUNCTION("""COMPUTED_VALUE"""),145.85)</f>
        <v>145.85</v>
      </c>
      <c r="D73" s="2">
        <f>IFERROR(__xludf.DUMMYFUNCTION("""COMPUTED_VALUE"""),141.83)</f>
        <v>141.83</v>
      </c>
      <c r="E73" s="2">
        <f>IFERROR(__xludf.DUMMYFUNCTION("""COMPUTED_VALUE"""),145.26)</f>
        <v>145.26</v>
      </c>
      <c r="F73" s="2">
        <f>IFERROR(__xludf.DUMMYFUNCTION("""COMPUTED_VALUE"""),3970463.0)</f>
        <v>3970463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IFERROR(__xludf.DUMMYFUNCTION("""COMPUTED_VALUE"""),147.53)</f>
        <v>147.53</v>
      </c>
      <c r="C74" s="2">
        <f>IFERROR(__xludf.DUMMYFUNCTION("""COMPUTED_VALUE"""),147.57)</f>
        <v>147.57</v>
      </c>
      <c r="D74" s="2">
        <f>IFERROR(__xludf.DUMMYFUNCTION("""COMPUTED_VALUE"""),142.17)</f>
        <v>142.17</v>
      </c>
      <c r="E74" s="2">
        <f>IFERROR(__xludf.DUMMYFUNCTION("""COMPUTED_VALUE"""),145.89)</f>
        <v>145.89</v>
      </c>
      <c r="F74" s="2">
        <f>IFERROR(__xludf.DUMMYFUNCTION("""COMPUTED_VALUE"""),4021831.0)</f>
        <v>4021831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IFERROR(__xludf.DUMMYFUNCTION("""COMPUTED_VALUE"""),144.45)</f>
        <v>144.45</v>
      </c>
      <c r="C75" s="2">
        <f>IFERROR(__xludf.DUMMYFUNCTION("""COMPUTED_VALUE"""),146.46)</f>
        <v>146.46</v>
      </c>
      <c r="D75" s="2">
        <f>IFERROR(__xludf.DUMMYFUNCTION("""COMPUTED_VALUE"""),143.65)</f>
        <v>143.65</v>
      </c>
      <c r="E75" s="2">
        <f>IFERROR(__xludf.DUMMYFUNCTION("""COMPUTED_VALUE"""),144.55)</f>
        <v>144.55</v>
      </c>
      <c r="F75" s="2">
        <f>IFERROR(__xludf.DUMMYFUNCTION("""COMPUTED_VALUE"""),2887438.0)</f>
        <v>2887438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IFERROR(__xludf.DUMMYFUNCTION("""COMPUTED_VALUE"""),142.3)</f>
        <v>142.3</v>
      </c>
      <c r="C76" s="2">
        <f>IFERROR(__xludf.DUMMYFUNCTION("""COMPUTED_VALUE"""),144.13)</f>
        <v>144.13</v>
      </c>
      <c r="D76" s="2">
        <f>IFERROR(__xludf.DUMMYFUNCTION("""COMPUTED_VALUE"""),141.74)</f>
        <v>141.74</v>
      </c>
      <c r="E76" s="2">
        <f>IFERROR(__xludf.DUMMYFUNCTION("""COMPUTED_VALUE"""),142.72)</f>
        <v>142.72</v>
      </c>
      <c r="F76" s="2">
        <f>IFERROR(__xludf.DUMMYFUNCTION("""COMPUTED_VALUE"""),2993922.0)</f>
        <v>2993922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IFERROR(__xludf.DUMMYFUNCTION("""COMPUTED_VALUE"""),144.07)</f>
        <v>144.07</v>
      </c>
      <c r="C77" s="2">
        <f>IFERROR(__xludf.DUMMYFUNCTION("""COMPUTED_VALUE"""),146.8)</f>
        <v>146.8</v>
      </c>
      <c r="D77" s="2">
        <f>IFERROR(__xludf.DUMMYFUNCTION("""COMPUTED_VALUE"""),143.52)</f>
        <v>143.52</v>
      </c>
      <c r="E77" s="2">
        <f>IFERROR(__xludf.DUMMYFUNCTION("""COMPUTED_VALUE"""),145.19)</f>
        <v>145.19</v>
      </c>
      <c r="F77" s="2">
        <f>IFERROR(__xludf.DUMMYFUNCTION("""COMPUTED_VALUE"""),3672166.0)</f>
        <v>3672166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IFERROR(__xludf.DUMMYFUNCTION("""COMPUTED_VALUE"""),144.85)</f>
        <v>144.85</v>
      </c>
      <c r="C78" s="2">
        <f>IFERROR(__xludf.DUMMYFUNCTION("""COMPUTED_VALUE"""),145.81)</f>
        <v>145.81</v>
      </c>
      <c r="D78" s="2">
        <f>IFERROR(__xludf.DUMMYFUNCTION("""COMPUTED_VALUE"""),140.77)</f>
        <v>140.77</v>
      </c>
      <c r="E78" s="2">
        <f>IFERROR(__xludf.DUMMYFUNCTION("""COMPUTED_VALUE"""),142.51)</f>
        <v>142.51</v>
      </c>
      <c r="F78" s="2">
        <f>IFERROR(__xludf.DUMMYFUNCTION("""COMPUTED_VALUE"""),3472436.0)</f>
        <v>3472436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IFERROR(__xludf.DUMMYFUNCTION("""COMPUTED_VALUE"""),140.56)</f>
        <v>140.56</v>
      </c>
      <c r="C79" s="2">
        <f>IFERROR(__xludf.DUMMYFUNCTION("""COMPUTED_VALUE"""),140.66)</f>
        <v>140.66</v>
      </c>
      <c r="D79" s="2">
        <f>IFERROR(__xludf.DUMMYFUNCTION("""COMPUTED_VALUE"""),135.26)</f>
        <v>135.26</v>
      </c>
      <c r="E79" s="2">
        <f>IFERROR(__xludf.DUMMYFUNCTION("""COMPUTED_VALUE"""),135.48)</f>
        <v>135.48</v>
      </c>
      <c r="F79" s="2">
        <f>IFERROR(__xludf.DUMMYFUNCTION("""COMPUTED_VALUE"""),7176410.0)</f>
        <v>7176410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IFERROR(__xludf.DUMMYFUNCTION("""COMPUTED_VALUE"""),142.78)</f>
        <v>142.78</v>
      </c>
      <c r="C80" s="2">
        <f>IFERROR(__xludf.DUMMYFUNCTION("""COMPUTED_VALUE"""),149.28)</f>
        <v>149.28</v>
      </c>
      <c r="D80" s="2">
        <f>IFERROR(__xludf.DUMMYFUNCTION("""COMPUTED_VALUE"""),142.6)</f>
        <v>142.6</v>
      </c>
      <c r="E80" s="2">
        <f>IFERROR(__xludf.DUMMYFUNCTION("""COMPUTED_VALUE"""),147.06)</f>
        <v>147.06</v>
      </c>
      <c r="F80" s="2">
        <f>IFERROR(__xludf.DUMMYFUNCTION("""COMPUTED_VALUE"""),9439700.0)</f>
        <v>9439700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IFERROR(__xludf.DUMMYFUNCTION("""COMPUTED_VALUE"""),148.32)</f>
        <v>148.32</v>
      </c>
      <c r="C81" s="2">
        <f>IFERROR(__xludf.DUMMYFUNCTION("""COMPUTED_VALUE"""),149.88)</f>
        <v>149.88</v>
      </c>
      <c r="D81" s="2">
        <f>IFERROR(__xludf.DUMMYFUNCTION("""COMPUTED_VALUE"""),145.13)</f>
        <v>145.13</v>
      </c>
      <c r="E81" s="2">
        <f>IFERROR(__xludf.DUMMYFUNCTION("""COMPUTED_VALUE"""),148.77)</f>
        <v>148.77</v>
      </c>
      <c r="F81" s="2">
        <f>IFERROR(__xludf.DUMMYFUNCTION("""COMPUTED_VALUE"""),5736423.0)</f>
        <v>5736423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IFERROR(__xludf.DUMMYFUNCTION("""COMPUTED_VALUE"""),145.67)</f>
        <v>145.67</v>
      </c>
      <c r="C82" s="2">
        <f>IFERROR(__xludf.DUMMYFUNCTION("""COMPUTED_VALUE"""),148.76)</f>
        <v>148.76</v>
      </c>
      <c r="D82" s="2">
        <f>IFERROR(__xludf.DUMMYFUNCTION("""COMPUTED_VALUE"""),140.87)</f>
        <v>140.87</v>
      </c>
      <c r="E82" s="2">
        <f>IFERROR(__xludf.DUMMYFUNCTION("""COMPUTED_VALUE"""),148.08)</f>
        <v>148.08</v>
      </c>
      <c r="F82" s="2">
        <f>IFERROR(__xludf.DUMMYFUNCTION("""COMPUTED_VALUE"""),5223139.0)</f>
        <v>5223139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IFERROR(__xludf.DUMMYFUNCTION("""COMPUTED_VALUE"""),148.15)</f>
        <v>148.15</v>
      </c>
      <c r="C83" s="2">
        <f>IFERROR(__xludf.DUMMYFUNCTION("""COMPUTED_VALUE"""),148.46)</f>
        <v>148.46</v>
      </c>
      <c r="D83" s="2">
        <f>IFERROR(__xludf.DUMMYFUNCTION("""COMPUTED_VALUE"""),145.01)</f>
        <v>145.01</v>
      </c>
      <c r="E83" s="2">
        <f>IFERROR(__xludf.DUMMYFUNCTION("""COMPUTED_VALUE"""),146.97)</f>
        <v>146.97</v>
      </c>
      <c r="F83" s="2">
        <f>IFERROR(__xludf.DUMMYFUNCTION("""COMPUTED_VALUE"""),3011139.0)</f>
        <v>3011139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IFERROR(__xludf.DUMMYFUNCTION("""COMPUTED_VALUE"""),146.44)</f>
        <v>146.44</v>
      </c>
      <c r="C84" s="2">
        <f>IFERROR(__xludf.DUMMYFUNCTION("""COMPUTED_VALUE"""),147.05)</f>
        <v>147.05</v>
      </c>
      <c r="D84" s="2">
        <f>IFERROR(__xludf.DUMMYFUNCTION("""COMPUTED_VALUE"""),143.54)</f>
        <v>143.54</v>
      </c>
      <c r="E84" s="2">
        <f>IFERROR(__xludf.DUMMYFUNCTION("""COMPUTED_VALUE"""),144.84)</f>
        <v>144.84</v>
      </c>
      <c r="F84" s="2">
        <f>IFERROR(__xludf.DUMMYFUNCTION("""COMPUTED_VALUE"""),2845502.0)</f>
        <v>2845502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IFERROR(__xludf.DUMMYFUNCTION("""COMPUTED_VALUE"""),144.07)</f>
        <v>144.07</v>
      </c>
      <c r="C85" s="2">
        <f>IFERROR(__xludf.DUMMYFUNCTION("""COMPUTED_VALUE"""),147.59)</f>
        <v>147.59</v>
      </c>
      <c r="D85" s="2">
        <f>IFERROR(__xludf.DUMMYFUNCTION("""COMPUTED_VALUE"""),142.44)</f>
        <v>142.44</v>
      </c>
      <c r="E85" s="2">
        <f>IFERROR(__xludf.DUMMYFUNCTION("""COMPUTED_VALUE"""),144.64)</f>
        <v>144.64</v>
      </c>
      <c r="F85" s="2">
        <f>IFERROR(__xludf.DUMMYFUNCTION("""COMPUTED_VALUE"""),3309104.0)</f>
        <v>3309104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IFERROR(__xludf.DUMMYFUNCTION("""COMPUTED_VALUE"""),148.98)</f>
        <v>148.98</v>
      </c>
      <c r="C86" s="2">
        <f>IFERROR(__xludf.DUMMYFUNCTION("""COMPUTED_VALUE"""),156.59)</f>
        <v>156.59</v>
      </c>
      <c r="D86" s="2">
        <f>IFERROR(__xludf.DUMMYFUNCTION("""COMPUTED_VALUE"""),148.86)</f>
        <v>148.86</v>
      </c>
      <c r="E86" s="2">
        <f>IFERROR(__xludf.DUMMYFUNCTION("""COMPUTED_VALUE"""),155.27)</f>
        <v>155.27</v>
      </c>
      <c r="F86" s="2">
        <f>IFERROR(__xludf.DUMMYFUNCTION("""COMPUTED_VALUE"""),7030450.0)</f>
        <v>7030450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IFERROR(__xludf.DUMMYFUNCTION("""COMPUTED_VALUE"""),155.75)</f>
        <v>155.75</v>
      </c>
      <c r="C87" s="2">
        <f>IFERROR(__xludf.DUMMYFUNCTION("""COMPUTED_VALUE"""),159.05)</f>
        <v>159.05</v>
      </c>
      <c r="D87" s="2">
        <f>IFERROR(__xludf.DUMMYFUNCTION("""COMPUTED_VALUE"""),153.0)</f>
        <v>153</v>
      </c>
      <c r="E87" s="2">
        <f>IFERROR(__xludf.DUMMYFUNCTION("""COMPUTED_VALUE"""),154.17)</f>
        <v>154.17</v>
      </c>
      <c r="F87" s="2">
        <f>IFERROR(__xludf.DUMMYFUNCTION("""COMPUTED_VALUE"""),4538512.0)</f>
        <v>4538512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IFERROR(__xludf.DUMMYFUNCTION("""COMPUTED_VALUE"""),160.11)</f>
        <v>160.11</v>
      </c>
      <c r="C88" s="2">
        <f>IFERROR(__xludf.DUMMYFUNCTION("""COMPUTED_VALUE"""),163.18)</f>
        <v>163.18</v>
      </c>
      <c r="D88" s="2">
        <f>IFERROR(__xludf.DUMMYFUNCTION("""COMPUTED_VALUE"""),156.29)</f>
        <v>156.29</v>
      </c>
      <c r="E88" s="2">
        <f>IFERROR(__xludf.DUMMYFUNCTION("""COMPUTED_VALUE"""),160.42)</f>
        <v>160.42</v>
      </c>
      <c r="F88" s="2">
        <f>IFERROR(__xludf.DUMMYFUNCTION("""COMPUTED_VALUE"""),5587240.0)</f>
        <v>5587240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IFERROR(__xludf.DUMMYFUNCTION("""COMPUTED_VALUE"""),158.97)</f>
        <v>158.97</v>
      </c>
      <c r="C89" s="2">
        <f>IFERROR(__xludf.DUMMYFUNCTION("""COMPUTED_VALUE"""),164.56)</f>
        <v>164.56</v>
      </c>
      <c r="D89" s="2">
        <f>IFERROR(__xludf.DUMMYFUNCTION("""COMPUTED_VALUE"""),158.61)</f>
        <v>158.61</v>
      </c>
      <c r="E89" s="2">
        <f>IFERROR(__xludf.DUMMYFUNCTION("""COMPUTED_VALUE"""),163.87)</f>
        <v>163.87</v>
      </c>
      <c r="F89" s="2">
        <f>IFERROR(__xludf.DUMMYFUNCTION("""COMPUTED_VALUE"""),3770447.0)</f>
        <v>3770447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IFERROR(__xludf.DUMMYFUNCTION("""COMPUTED_VALUE"""),165.81)</f>
        <v>165.81</v>
      </c>
      <c r="C90" s="2">
        <f>IFERROR(__xludf.DUMMYFUNCTION("""COMPUTED_VALUE"""),173.27)</f>
        <v>173.27</v>
      </c>
      <c r="D90" s="2">
        <f>IFERROR(__xludf.DUMMYFUNCTION("""COMPUTED_VALUE"""),165.2)</f>
        <v>165.2</v>
      </c>
      <c r="E90" s="2">
        <f>IFERROR(__xludf.DUMMYFUNCTION("""COMPUTED_VALUE"""),172.04)</f>
        <v>172.04</v>
      </c>
      <c r="F90" s="2">
        <f>IFERROR(__xludf.DUMMYFUNCTION("""COMPUTED_VALUE"""),6799409.0)</f>
        <v>6799409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IFERROR(__xludf.DUMMYFUNCTION("""COMPUTED_VALUE"""),170.21)</f>
        <v>170.21</v>
      </c>
      <c r="C91" s="2">
        <f>IFERROR(__xludf.DUMMYFUNCTION("""COMPUTED_VALUE"""),171.78)</f>
        <v>171.78</v>
      </c>
      <c r="D91" s="2">
        <f>IFERROR(__xludf.DUMMYFUNCTION("""COMPUTED_VALUE"""),168.85)</f>
        <v>168.85</v>
      </c>
      <c r="E91" s="2">
        <f>IFERROR(__xludf.DUMMYFUNCTION("""COMPUTED_VALUE"""),170.07)</f>
        <v>170.07</v>
      </c>
      <c r="F91" s="2">
        <f>IFERROR(__xludf.DUMMYFUNCTION("""COMPUTED_VALUE"""),3466383.0)</f>
        <v>3466383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IFERROR(__xludf.DUMMYFUNCTION("""COMPUTED_VALUE"""),169.2)</f>
        <v>169.2</v>
      </c>
      <c r="C92" s="2">
        <f>IFERROR(__xludf.DUMMYFUNCTION("""COMPUTED_VALUE"""),171.32)</f>
        <v>171.32</v>
      </c>
      <c r="D92" s="2">
        <f>IFERROR(__xludf.DUMMYFUNCTION("""COMPUTED_VALUE"""),166.42)</f>
        <v>166.42</v>
      </c>
      <c r="E92" s="2">
        <f>IFERROR(__xludf.DUMMYFUNCTION("""COMPUTED_VALUE"""),167.4)</f>
        <v>167.4</v>
      </c>
      <c r="F92" s="2">
        <f>IFERROR(__xludf.DUMMYFUNCTION("""COMPUTED_VALUE"""),4041019.0)</f>
        <v>4041019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IFERROR(__xludf.DUMMYFUNCTION("""COMPUTED_VALUE"""),172.88)</f>
        <v>172.88</v>
      </c>
      <c r="D93" s="2">
        <f>IFERROR(__xludf.DUMMYFUNCTION("""COMPUTED_VALUE"""),166.9)</f>
        <v>166.9</v>
      </c>
      <c r="E93" s="2">
        <f>IFERROR(__xludf.DUMMYFUNCTION("""COMPUTED_VALUE"""),172.05)</f>
        <v>172.05</v>
      </c>
      <c r="F93" s="2">
        <f>IFERROR(__xludf.DUMMYFUNCTION("""COMPUTED_VALUE"""),3436500.0)</f>
        <v>3436500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IFERROR(__xludf.DUMMYFUNCTION("""COMPUTED_VALUE"""),170.14)</f>
        <v>170.14</v>
      </c>
      <c r="C94" s="2">
        <f>IFERROR(__xludf.DUMMYFUNCTION("""COMPUTED_VALUE"""),173.05)</f>
        <v>173.05</v>
      </c>
      <c r="D94" s="2">
        <f>IFERROR(__xludf.DUMMYFUNCTION("""COMPUTED_VALUE"""),168.79)</f>
        <v>168.79</v>
      </c>
      <c r="E94" s="2">
        <f>IFERROR(__xludf.DUMMYFUNCTION("""COMPUTED_VALUE"""),171.71)</f>
        <v>171.71</v>
      </c>
      <c r="F94" s="2">
        <f>IFERROR(__xludf.DUMMYFUNCTION("""COMPUTED_VALUE"""),3482860.0)</f>
        <v>3482860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IFERROR(__xludf.DUMMYFUNCTION("""COMPUTED_VALUE"""),172.09)</f>
        <v>172.09</v>
      </c>
      <c r="C95" s="2">
        <f>IFERROR(__xludf.DUMMYFUNCTION("""COMPUTED_VALUE"""),174.55)</f>
        <v>174.55</v>
      </c>
      <c r="D95" s="2">
        <f>IFERROR(__xludf.DUMMYFUNCTION("""COMPUTED_VALUE"""),170.3)</f>
        <v>170.3</v>
      </c>
      <c r="E95" s="2">
        <f>IFERROR(__xludf.DUMMYFUNCTION("""COMPUTED_VALUE"""),174.02)</f>
        <v>174.02</v>
      </c>
      <c r="F95" s="2">
        <f>IFERROR(__xludf.DUMMYFUNCTION("""COMPUTED_VALUE"""),4335566.0)</f>
        <v>4335566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IFERROR(__xludf.DUMMYFUNCTION("""COMPUTED_VALUE"""),175.97)</f>
        <v>175.97</v>
      </c>
      <c r="C96" s="2">
        <f>IFERROR(__xludf.DUMMYFUNCTION("""COMPUTED_VALUE"""),185.0)</f>
        <v>185</v>
      </c>
      <c r="D96" s="2">
        <f>IFERROR(__xludf.DUMMYFUNCTION("""COMPUTED_VALUE"""),175.51)</f>
        <v>175.51</v>
      </c>
      <c r="E96" s="2">
        <f>IFERROR(__xludf.DUMMYFUNCTION("""COMPUTED_VALUE"""),184.31)</f>
        <v>184.31</v>
      </c>
      <c r="F96" s="2">
        <f>IFERROR(__xludf.DUMMYFUNCTION("""COMPUTED_VALUE"""),7229138.0)</f>
        <v>7229138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IFERROR(__xludf.DUMMYFUNCTION("""COMPUTED_VALUE"""),181.18)</f>
        <v>181.18</v>
      </c>
      <c r="C97" s="2">
        <f>IFERROR(__xludf.DUMMYFUNCTION("""COMPUTED_VALUE"""),182.46)</f>
        <v>182.46</v>
      </c>
      <c r="D97" s="2">
        <f>IFERROR(__xludf.DUMMYFUNCTION("""COMPUTED_VALUE"""),175.71)</f>
        <v>175.71</v>
      </c>
      <c r="E97" s="2">
        <f>IFERROR(__xludf.DUMMYFUNCTION("""COMPUTED_VALUE"""),176.82)</f>
        <v>176.82</v>
      </c>
      <c r="F97" s="2">
        <f>IFERROR(__xludf.DUMMYFUNCTION("""COMPUTED_VALUE"""),6704978.0)</f>
        <v>6704978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IFERROR(__xludf.DUMMYFUNCTION("""COMPUTED_VALUE"""),176.51)</f>
        <v>176.51</v>
      </c>
      <c r="C98" s="2">
        <f>IFERROR(__xludf.DUMMYFUNCTION("""COMPUTED_VALUE"""),182.2)</f>
        <v>182.2</v>
      </c>
      <c r="D98" s="2">
        <f>IFERROR(__xludf.DUMMYFUNCTION("""COMPUTED_VALUE"""),175.39)</f>
        <v>175.39</v>
      </c>
      <c r="E98" s="2">
        <f>IFERROR(__xludf.DUMMYFUNCTION("""COMPUTED_VALUE"""),178.47)</f>
        <v>178.47</v>
      </c>
      <c r="F98" s="2">
        <f>IFERROR(__xludf.DUMMYFUNCTION("""COMPUTED_VALUE"""),4424320.0)</f>
        <v>4424320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IFERROR(__xludf.DUMMYFUNCTION("""COMPUTED_VALUE"""),177.04)</f>
        <v>177.04</v>
      </c>
      <c r="C99" s="2">
        <f>IFERROR(__xludf.DUMMYFUNCTION("""COMPUTED_VALUE"""),182.5)</f>
        <v>182.5</v>
      </c>
      <c r="D99" s="2">
        <f>IFERROR(__xludf.DUMMYFUNCTION("""COMPUTED_VALUE"""),175.08)</f>
        <v>175.08</v>
      </c>
      <c r="E99" s="2">
        <f>IFERROR(__xludf.DUMMYFUNCTION("""COMPUTED_VALUE"""),175.16)</f>
        <v>175.16</v>
      </c>
      <c r="F99" s="2">
        <f>IFERROR(__xludf.DUMMYFUNCTION("""COMPUTED_VALUE"""),4558489.0)</f>
        <v>4558489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IFERROR(__xludf.DUMMYFUNCTION("""COMPUTED_VALUE"""),173.64)</f>
        <v>173.64</v>
      </c>
      <c r="C100" s="2">
        <f>IFERROR(__xludf.DUMMYFUNCTION("""COMPUTED_VALUE"""),178.4)</f>
        <v>178.4</v>
      </c>
      <c r="D100" s="2">
        <f>IFERROR(__xludf.DUMMYFUNCTION("""COMPUTED_VALUE"""),172.12)</f>
        <v>172.12</v>
      </c>
      <c r="E100" s="2">
        <f>IFERROR(__xludf.DUMMYFUNCTION("""COMPUTED_VALUE"""),177.14)</f>
        <v>177.14</v>
      </c>
      <c r="F100" s="2">
        <f>IFERROR(__xludf.DUMMYFUNCTION("""COMPUTED_VALUE"""),1.0020835E7)</f>
        <v>10020835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IFERROR(__xludf.DUMMYFUNCTION("""COMPUTED_VALUE"""),150.47)</f>
        <v>150.47</v>
      </c>
      <c r="C101" s="2">
        <f>IFERROR(__xludf.DUMMYFUNCTION("""COMPUTED_VALUE"""),158.73)</f>
        <v>158.73</v>
      </c>
      <c r="D101" s="2">
        <f>IFERROR(__xludf.DUMMYFUNCTION("""COMPUTED_VALUE"""),143.11)</f>
        <v>143.11</v>
      </c>
      <c r="E101" s="2">
        <f>IFERROR(__xludf.DUMMYFUNCTION("""COMPUTED_VALUE"""),147.91)</f>
        <v>147.91</v>
      </c>
      <c r="F101" s="2">
        <f>IFERROR(__xludf.DUMMYFUNCTION("""COMPUTED_VALUE"""),2.3969998E7)</f>
        <v>23969998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IFERROR(__xludf.DUMMYFUNCTION("""COMPUTED_VALUE"""),146.86)</f>
        <v>146.86</v>
      </c>
      <c r="C102" s="2">
        <f>IFERROR(__xludf.DUMMYFUNCTION("""COMPUTED_VALUE"""),152.9)</f>
        <v>152.9</v>
      </c>
      <c r="D102" s="2">
        <f>IFERROR(__xludf.DUMMYFUNCTION("""COMPUTED_VALUE"""),144.82)</f>
        <v>144.82</v>
      </c>
      <c r="E102" s="2">
        <f>IFERROR(__xludf.DUMMYFUNCTION("""COMPUTED_VALUE"""),150.01)</f>
        <v>150.01</v>
      </c>
      <c r="F102" s="2">
        <f>IFERROR(__xludf.DUMMYFUNCTION("""COMPUTED_VALUE"""),1.1512197E7)</f>
        <v>11512197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IFERROR(__xludf.DUMMYFUNCTION("""COMPUTED_VALUE"""),151.18)</f>
        <v>151.18</v>
      </c>
      <c r="C103" s="2">
        <f>IFERROR(__xludf.DUMMYFUNCTION("""COMPUTED_VALUE"""),159.99)</f>
        <v>159.99</v>
      </c>
      <c r="D103" s="2">
        <f>IFERROR(__xludf.DUMMYFUNCTION("""COMPUTED_VALUE"""),150.5)</f>
        <v>150.5</v>
      </c>
      <c r="E103" s="2">
        <f>IFERROR(__xludf.DUMMYFUNCTION("""COMPUTED_VALUE"""),158.65)</f>
        <v>158.65</v>
      </c>
      <c r="F103" s="2">
        <f>IFERROR(__xludf.DUMMYFUNCTION("""COMPUTED_VALUE"""),9655841.0)</f>
        <v>9655841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IFERROR(__xludf.DUMMYFUNCTION("""COMPUTED_VALUE"""),158.0)</f>
        <v>158</v>
      </c>
      <c r="C104" s="2">
        <f>IFERROR(__xludf.DUMMYFUNCTION("""COMPUTED_VALUE"""),168.98)</f>
        <v>168.98</v>
      </c>
      <c r="D104" s="2">
        <f>IFERROR(__xludf.DUMMYFUNCTION("""COMPUTED_VALUE"""),157.43)</f>
        <v>157.43</v>
      </c>
      <c r="E104" s="2">
        <f>IFERROR(__xludf.DUMMYFUNCTION("""COMPUTED_VALUE"""),165.36)</f>
        <v>165.36</v>
      </c>
      <c r="F104" s="2">
        <f>IFERROR(__xludf.DUMMYFUNCTION("""COMPUTED_VALUE"""),1.4605655E7)</f>
        <v>14605655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IFERROR(__xludf.DUMMYFUNCTION("""COMPUTED_VALUE"""),160.37)</f>
        <v>160.37</v>
      </c>
      <c r="C105" s="2">
        <f>IFERROR(__xludf.DUMMYFUNCTION("""COMPUTED_VALUE"""),169.46)</f>
        <v>169.46</v>
      </c>
      <c r="D105" s="2">
        <f>IFERROR(__xludf.DUMMYFUNCTION("""COMPUTED_VALUE"""),160.0)</f>
        <v>160</v>
      </c>
      <c r="E105" s="2">
        <f>IFERROR(__xludf.DUMMYFUNCTION("""COMPUTED_VALUE"""),167.28)</f>
        <v>167.28</v>
      </c>
      <c r="F105" s="2">
        <f>IFERROR(__xludf.DUMMYFUNCTION("""COMPUTED_VALUE"""),5597720.0)</f>
        <v>5597720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IFERROR(__xludf.DUMMYFUNCTION("""COMPUTED_VALUE"""),172.3)</f>
        <v>172.3</v>
      </c>
      <c r="C106" s="2">
        <f>IFERROR(__xludf.DUMMYFUNCTION("""COMPUTED_VALUE"""),182.95)</f>
        <v>182.95</v>
      </c>
      <c r="D106" s="2">
        <f>IFERROR(__xludf.DUMMYFUNCTION("""COMPUTED_VALUE"""),172.08)</f>
        <v>172.08</v>
      </c>
      <c r="E106" s="2">
        <f>IFERROR(__xludf.DUMMYFUNCTION("""COMPUTED_VALUE"""),175.21)</f>
        <v>175.21</v>
      </c>
      <c r="F106" s="2">
        <f>IFERROR(__xludf.DUMMYFUNCTION("""COMPUTED_VALUE"""),9757340.0)</f>
        <v>9757340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IFERROR(__xludf.DUMMYFUNCTION("""COMPUTED_VALUE"""),175.81)</f>
        <v>175.81</v>
      </c>
      <c r="C107" s="2">
        <f>IFERROR(__xludf.DUMMYFUNCTION("""COMPUTED_VALUE"""),183.55)</f>
        <v>183.55</v>
      </c>
      <c r="D107" s="2">
        <f>IFERROR(__xludf.DUMMYFUNCTION("""COMPUTED_VALUE"""),175.5)</f>
        <v>175.5</v>
      </c>
      <c r="E107" s="2">
        <f>IFERROR(__xludf.DUMMYFUNCTION("""COMPUTED_VALUE"""),181.75)</f>
        <v>181.75</v>
      </c>
      <c r="F107" s="2">
        <f>IFERROR(__xludf.DUMMYFUNCTION("""COMPUTED_VALUE"""),5608728.0)</f>
        <v>5608728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IFERROR(__xludf.DUMMYFUNCTION("""COMPUTED_VALUE"""),181.25)</f>
        <v>181.25</v>
      </c>
      <c r="C108" s="2">
        <f>IFERROR(__xludf.DUMMYFUNCTION("""COMPUTED_VALUE"""),185.04)</f>
        <v>185.04</v>
      </c>
      <c r="D108" s="2">
        <f>IFERROR(__xludf.DUMMYFUNCTION("""COMPUTED_VALUE"""),181.17)</f>
        <v>181.17</v>
      </c>
      <c r="E108" s="2">
        <f>IFERROR(__xludf.DUMMYFUNCTION("""COMPUTED_VALUE"""),182.22)</f>
        <v>182.22</v>
      </c>
      <c r="F108" s="2">
        <f>IFERROR(__xludf.DUMMYFUNCTION("""COMPUTED_VALUE"""),5827714.0)</f>
        <v>5827714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IFERROR(__xludf.DUMMYFUNCTION("""COMPUTED_VALUE"""),182.01)</f>
        <v>182.01</v>
      </c>
      <c r="C109" s="2">
        <f>IFERROR(__xludf.DUMMYFUNCTION("""COMPUTED_VALUE"""),183.0)</f>
        <v>183</v>
      </c>
      <c r="D109" s="2">
        <f>IFERROR(__xludf.DUMMYFUNCTION("""COMPUTED_VALUE"""),167.37)</f>
        <v>167.37</v>
      </c>
      <c r="E109" s="2">
        <f>IFERROR(__xludf.DUMMYFUNCTION("""COMPUTED_VALUE"""),169.07)</f>
        <v>169.07</v>
      </c>
      <c r="F109" s="2">
        <f>IFERROR(__xludf.DUMMYFUNCTION("""COMPUTED_VALUE"""),8407551.0)</f>
        <v>8407551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IFERROR(__xludf.DUMMYFUNCTION("""COMPUTED_VALUE"""),167.66)</f>
        <v>167.66</v>
      </c>
      <c r="C110" s="2">
        <f>IFERROR(__xludf.DUMMYFUNCTION("""COMPUTED_VALUE"""),174.66)</f>
        <v>174.66</v>
      </c>
      <c r="D110" s="2">
        <f>IFERROR(__xludf.DUMMYFUNCTION("""COMPUTED_VALUE"""),166.4)</f>
        <v>166.4</v>
      </c>
      <c r="E110" s="2">
        <f>IFERROR(__xludf.DUMMYFUNCTION("""COMPUTED_VALUE"""),174.31)</f>
        <v>174.31</v>
      </c>
      <c r="F110" s="2">
        <f>IFERROR(__xludf.DUMMYFUNCTION("""COMPUTED_VALUE"""),5847401.0)</f>
        <v>5847401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IFERROR(__xludf.DUMMYFUNCTION("""COMPUTED_VALUE"""),174.31)</f>
        <v>174.31</v>
      </c>
      <c r="C111" s="2">
        <f>IFERROR(__xludf.DUMMYFUNCTION("""COMPUTED_VALUE"""),176.53)</f>
        <v>176.53</v>
      </c>
      <c r="D111" s="2">
        <f>IFERROR(__xludf.DUMMYFUNCTION("""COMPUTED_VALUE"""),169.29)</f>
        <v>169.29</v>
      </c>
      <c r="E111" s="2">
        <f>IFERROR(__xludf.DUMMYFUNCTION("""COMPUTED_VALUE"""),170.65)</f>
        <v>170.65</v>
      </c>
      <c r="F111" s="2">
        <f>IFERROR(__xludf.DUMMYFUNCTION("""COMPUTED_VALUE"""),5314504.0)</f>
        <v>5314504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IFERROR(__xludf.DUMMYFUNCTION("""COMPUTED_VALUE"""),170.27)</f>
        <v>170.27</v>
      </c>
      <c r="C112" s="2">
        <f>IFERROR(__xludf.DUMMYFUNCTION("""COMPUTED_VALUE"""),172.38)</f>
        <v>172.38</v>
      </c>
      <c r="D112" s="2">
        <f>IFERROR(__xludf.DUMMYFUNCTION("""COMPUTED_VALUE"""),167.84)</f>
        <v>167.84</v>
      </c>
      <c r="E112" s="2">
        <f>IFERROR(__xludf.DUMMYFUNCTION("""COMPUTED_VALUE"""),171.89)</f>
        <v>171.89</v>
      </c>
      <c r="F112" s="2">
        <f>IFERROR(__xludf.DUMMYFUNCTION("""COMPUTED_VALUE"""),5098018.0)</f>
        <v>5098018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IFERROR(__xludf.DUMMYFUNCTION("""COMPUTED_VALUE"""),173.03)</f>
        <v>173.03</v>
      </c>
      <c r="C113" s="2">
        <f>IFERROR(__xludf.DUMMYFUNCTION("""COMPUTED_VALUE"""),174.86)</f>
        <v>174.86</v>
      </c>
      <c r="D113" s="2">
        <f>IFERROR(__xludf.DUMMYFUNCTION("""COMPUTED_VALUE"""),168.76)</f>
        <v>168.76</v>
      </c>
      <c r="E113" s="2">
        <f>IFERROR(__xludf.DUMMYFUNCTION("""COMPUTED_VALUE"""),173.44)</f>
        <v>173.44</v>
      </c>
      <c r="F113" s="2">
        <f>IFERROR(__xludf.DUMMYFUNCTION("""COMPUTED_VALUE"""),4182986.0)</f>
        <v>4182986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IFERROR(__xludf.DUMMYFUNCTION("""COMPUTED_VALUE"""),172.73)</f>
        <v>172.73</v>
      </c>
      <c r="C114" s="2">
        <f>IFERROR(__xludf.DUMMYFUNCTION("""COMPUTED_VALUE"""),181.33)</f>
        <v>181.33</v>
      </c>
      <c r="D114" s="2">
        <f>IFERROR(__xludf.DUMMYFUNCTION("""COMPUTED_VALUE"""),171.11)</f>
        <v>171.11</v>
      </c>
      <c r="E114" s="2">
        <f>IFERROR(__xludf.DUMMYFUNCTION("""COMPUTED_VALUE"""),181.07)</f>
        <v>181.07</v>
      </c>
      <c r="F114" s="2">
        <f>IFERROR(__xludf.DUMMYFUNCTION("""COMPUTED_VALUE"""),6664442.0)</f>
        <v>6664442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IFERROR(__xludf.DUMMYFUNCTION("""COMPUTED_VALUE"""),179.18)</f>
        <v>179.18</v>
      </c>
      <c r="C115" s="2">
        <f>IFERROR(__xludf.DUMMYFUNCTION("""COMPUTED_VALUE"""),191.65)</f>
        <v>191.65</v>
      </c>
      <c r="D115" s="2">
        <f>IFERROR(__xludf.DUMMYFUNCTION("""COMPUTED_VALUE"""),178.35)</f>
        <v>178.35</v>
      </c>
      <c r="E115" s="2">
        <f>IFERROR(__xludf.DUMMYFUNCTION("""COMPUTED_VALUE"""),190.98)</f>
        <v>190.98</v>
      </c>
      <c r="F115" s="2">
        <f>IFERROR(__xludf.DUMMYFUNCTION("""COMPUTED_VALUE"""),9779343.0)</f>
        <v>9779343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IFERROR(__xludf.DUMMYFUNCTION("""COMPUTED_VALUE"""),191.57)</f>
        <v>191.57</v>
      </c>
      <c r="C116" s="2">
        <f>IFERROR(__xludf.DUMMYFUNCTION("""COMPUTED_VALUE"""),193.94)</f>
        <v>193.94</v>
      </c>
      <c r="D116" s="2">
        <f>IFERROR(__xludf.DUMMYFUNCTION("""COMPUTED_VALUE"""),182.92)</f>
        <v>182.92</v>
      </c>
      <c r="E116" s="2">
        <f>IFERROR(__xludf.DUMMYFUNCTION("""COMPUTED_VALUE"""),184.18)</f>
        <v>184.18</v>
      </c>
      <c r="F116" s="2">
        <f>IFERROR(__xludf.DUMMYFUNCTION("""COMPUTED_VALUE"""),6589530.0)</f>
        <v>6589530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IFERROR(__xludf.DUMMYFUNCTION("""COMPUTED_VALUE"""),183.3)</f>
        <v>183.3</v>
      </c>
      <c r="C117" s="2">
        <f>IFERROR(__xludf.DUMMYFUNCTION("""COMPUTED_VALUE"""),185.67)</f>
        <v>185.67</v>
      </c>
      <c r="D117" s="2">
        <f>IFERROR(__xludf.DUMMYFUNCTION("""COMPUTED_VALUE"""),176.71)</f>
        <v>176.71</v>
      </c>
      <c r="E117" s="2">
        <f>IFERROR(__xludf.DUMMYFUNCTION("""COMPUTED_VALUE"""),179.08)</f>
        <v>179.08</v>
      </c>
      <c r="F117" s="2">
        <f>IFERROR(__xludf.DUMMYFUNCTION("""COMPUTED_VALUE"""),5305499.0)</f>
        <v>5305499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IFERROR(__xludf.DUMMYFUNCTION("""COMPUTED_VALUE"""),180.7)</f>
        <v>180.7</v>
      </c>
      <c r="C118" s="2">
        <f>IFERROR(__xludf.DUMMYFUNCTION("""COMPUTED_VALUE"""),183.6)</f>
        <v>183.6</v>
      </c>
      <c r="D118" s="2">
        <f>IFERROR(__xludf.DUMMYFUNCTION("""COMPUTED_VALUE"""),173.26)</f>
        <v>173.26</v>
      </c>
      <c r="E118" s="2">
        <f>IFERROR(__xludf.DUMMYFUNCTION("""COMPUTED_VALUE"""),173.39)</f>
        <v>173.39</v>
      </c>
      <c r="F118" s="2">
        <f>IFERROR(__xludf.DUMMYFUNCTION("""COMPUTED_VALUE"""),5463254.0)</f>
        <v>5463254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IFERROR(__xludf.DUMMYFUNCTION("""COMPUTED_VALUE"""),171.18)</f>
        <v>171.18</v>
      </c>
      <c r="C119" s="2">
        <f>IFERROR(__xludf.DUMMYFUNCTION("""COMPUTED_VALUE"""),179.74)</f>
        <v>179.74</v>
      </c>
      <c r="D119" s="2">
        <f>IFERROR(__xludf.DUMMYFUNCTION("""COMPUTED_VALUE"""),170.82)</f>
        <v>170.82</v>
      </c>
      <c r="E119" s="2">
        <f>IFERROR(__xludf.DUMMYFUNCTION("""COMPUTED_VALUE"""),178.6)</f>
        <v>178.6</v>
      </c>
      <c r="F119" s="2">
        <f>IFERROR(__xludf.DUMMYFUNCTION("""COMPUTED_VALUE"""),5189855.0)</f>
        <v>5189855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IFERROR(__xludf.DUMMYFUNCTION("""COMPUTED_VALUE"""),175.75)</f>
        <v>175.75</v>
      </c>
      <c r="C120" s="2">
        <f>IFERROR(__xludf.DUMMYFUNCTION("""COMPUTED_VALUE"""),181.82)</f>
        <v>181.82</v>
      </c>
      <c r="D120" s="2">
        <f>IFERROR(__xludf.DUMMYFUNCTION("""COMPUTED_VALUE"""),174.61)</f>
        <v>174.61</v>
      </c>
      <c r="E120" s="2">
        <f>IFERROR(__xludf.DUMMYFUNCTION("""COMPUTED_VALUE"""),178.25)</f>
        <v>178.25</v>
      </c>
      <c r="F120" s="2">
        <f>IFERROR(__xludf.DUMMYFUNCTION("""COMPUTED_VALUE"""),6259299.0)</f>
        <v>6259299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IFERROR(__xludf.DUMMYFUNCTION("""COMPUTED_VALUE"""),180.59)</f>
        <v>180.59</v>
      </c>
      <c r="C121" s="2">
        <f>IFERROR(__xludf.DUMMYFUNCTION("""COMPUTED_VALUE"""),183.39)</f>
        <v>183.39</v>
      </c>
      <c r="D121" s="2">
        <f>IFERROR(__xludf.DUMMYFUNCTION("""COMPUTED_VALUE"""),169.51)</f>
        <v>169.51</v>
      </c>
      <c r="E121" s="2">
        <f>IFERROR(__xludf.DUMMYFUNCTION("""COMPUTED_VALUE"""),169.84)</f>
        <v>169.84</v>
      </c>
      <c r="F121" s="2">
        <f>IFERROR(__xludf.DUMMYFUNCTION("""COMPUTED_VALUE"""),6906768.0)</f>
        <v>6906768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IFERROR(__xludf.DUMMYFUNCTION("""COMPUTED_VALUE"""),176.99)</f>
        <v>176.99</v>
      </c>
      <c r="C122" s="2">
        <f>IFERROR(__xludf.DUMMYFUNCTION("""COMPUTED_VALUE"""),179.15)</f>
        <v>179.15</v>
      </c>
      <c r="D122" s="2">
        <f>IFERROR(__xludf.DUMMYFUNCTION("""COMPUTED_VALUE"""),170.56)</f>
        <v>170.56</v>
      </c>
      <c r="E122" s="2">
        <f>IFERROR(__xludf.DUMMYFUNCTION("""COMPUTED_VALUE"""),177.02)</f>
        <v>177.02</v>
      </c>
      <c r="F122" s="2">
        <f>IFERROR(__xludf.DUMMYFUNCTION("""COMPUTED_VALUE"""),9516416.0)</f>
        <v>9516416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IFERROR(__xludf.DUMMYFUNCTION("""COMPUTED_VALUE"""),179.18)</f>
        <v>179.18</v>
      </c>
      <c r="C123" s="2">
        <f>IFERROR(__xludf.DUMMYFUNCTION("""COMPUTED_VALUE"""),191.94)</f>
        <v>191.94</v>
      </c>
      <c r="D123" s="2">
        <f>IFERROR(__xludf.DUMMYFUNCTION("""COMPUTED_VALUE"""),178.85)</f>
        <v>178.85</v>
      </c>
      <c r="E123" s="2">
        <f>IFERROR(__xludf.DUMMYFUNCTION("""COMPUTED_VALUE"""),183.85)</f>
        <v>183.85</v>
      </c>
      <c r="F123" s="2">
        <f>IFERROR(__xludf.DUMMYFUNCTION("""COMPUTED_VALUE"""),1.3895559E7)</f>
        <v>13895559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IFERROR(__xludf.DUMMYFUNCTION("""COMPUTED_VALUE"""),183.55)</f>
        <v>183.55</v>
      </c>
      <c r="C124" s="2">
        <f>IFERROR(__xludf.DUMMYFUNCTION("""COMPUTED_VALUE"""),186.17)</f>
        <v>186.17</v>
      </c>
      <c r="D124" s="2">
        <f>IFERROR(__xludf.DUMMYFUNCTION("""COMPUTED_VALUE"""),175.12)</f>
        <v>175.12</v>
      </c>
      <c r="E124" s="2">
        <f>IFERROR(__xludf.DUMMYFUNCTION("""COMPUTED_VALUE"""),175.77)</f>
        <v>175.77</v>
      </c>
      <c r="F124" s="2">
        <f>IFERROR(__xludf.DUMMYFUNCTION("""COMPUTED_VALUE"""),9010567.0)</f>
        <v>9010567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IFERROR(__xludf.DUMMYFUNCTION("""COMPUTED_VALUE"""),179.33)</f>
        <v>179.33</v>
      </c>
      <c r="C125" s="2">
        <f>IFERROR(__xludf.DUMMYFUNCTION("""COMPUTED_VALUE"""),181.5)</f>
        <v>181.5</v>
      </c>
      <c r="D125" s="2">
        <f>IFERROR(__xludf.DUMMYFUNCTION("""COMPUTED_VALUE"""),175.75)</f>
        <v>175.75</v>
      </c>
      <c r="E125" s="2">
        <f>IFERROR(__xludf.DUMMYFUNCTION("""COMPUTED_VALUE"""),175.98)</f>
        <v>175.98</v>
      </c>
      <c r="F125" s="2">
        <f>IFERROR(__xludf.DUMMYFUNCTION("""COMPUTED_VALUE"""),7345166.0)</f>
        <v>7345166</v>
      </c>
    </row>
    <row r="126">
      <c r="A126" s="3">
        <f>IFERROR(__xludf.DUMMYFUNCTION("""COMPUTED_VALUE"""),45110.54166666667)</f>
        <v>45110.54167</v>
      </c>
      <c r="B126" s="2">
        <f>IFERROR(__xludf.DUMMYFUNCTION("""COMPUTED_VALUE"""),176.0)</f>
        <v>176</v>
      </c>
      <c r="C126" s="2">
        <f>IFERROR(__xludf.DUMMYFUNCTION("""COMPUTED_VALUE"""),178.1)</f>
        <v>178.1</v>
      </c>
      <c r="D126" s="2">
        <f>IFERROR(__xludf.DUMMYFUNCTION("""COMPUTED_VALUE"""),174.65)</f>
        <v>174.65</v>
      </c>
      <c r="E126" s="2">
        <f>IFERROR(__xludf.DUMMYFUNCTION("""COMPUTED_VALUE"""),176.99)</f>
        <v>176.99</v>
      </c>
      <c r="F126" s="2">
        <f>IFERROR(__xludf.DUMMYFUNCTION("""COMPUTED_VALUE"""),2665332.0)</f>
        <v>2665332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IFERROR(__xludf.DUMMYFUNCTION("""COMPUTED_VALUE"""),175.0)</f>
        <v>175</v>
      </c>
      <c r="C127" s="2">
        <f>IFERROR(__xludf.DUMMYFUNCTION("""COMPUTED_VALUE"""),175.9)</f>
        <v>175.9</v>
      </c>
      <c r="D127" s="2">
        <f>IFERROR(__xludf.DUMMYFUNCTION("""COMPUTED_VALUE"""),170.63)</f>
        <v>170.63</v>
      </c>
      <c r="E127" s="2">
        <f>IFERROR(__xludf.DUMMYFUNCTION("""COMPUTED_VALUE"""),172.55)</f>
        <v>172.55</v>
      </c>
      <c r="F127" s="2">
        <f>IFERROR(__xludf.DUMMYFUNCTION("""COMPUTED_VALUE"""),6166775.0)</f>
        <v>6166775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IFERROR(__xludf.DUMMYFUNCTION("""COMPUTED_VALUE"""),169.82)</f>
        <v>169.82</v>
      </c>
      <c r="C128" s="2">
        <f>IFERROR(__xludf.DUMMYFUNCTION("""COMPUTED_VALUE"""),173.1)</f>
        <v>173.1</v>
      </c>
      <c r="D128" s="2">
        <f>IFERROR(__xludf.DUMMYFUNCTION("""COMPUTED_VALUE"""),167.49)</f>
        <v>167.49</v>
      </c>
      <c r="E128" s="2">
        <f>IFERROR(__xludf.DUMMYFUNCTION("""COMPUTED_VALUE"""),172.19)</f>
        <v>172.19</v>
      </c>
      <c r="F128" s="2">
        <f>IFERROR(__xludf.DUMMYFUNCTION("""COMPUTED_VALUE"""),4752968.0)</f>
        <v>4752968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IFERROR(__xludf.DUMMYFUNCTION("""COMPUTED_VALUE"""),173.37)</f>
        <v>173.37</v>
      </c>
      <c r="C129" s="2">
        <f>IFERROR(__xludf.DUMMYFUNCTION("""COMPUTED_VALUE"""),176.41)</f>
        <v>176.41</v>
      </c>
      <c r="D129" s="2">
        <f>IFERROR(__xludf.DUMMYFUNCTION("""COMPUTED_VALUE"""),170.49)</f>
        <v>170.49</v>
      </c>
      <c r="E129" s="2">
        <f>IFERROR(__xludf.DUMMYFUNCTION("""COMPUTED_VALUE"""),170.61)</f>
        <v>170.61</v>
      </c>
      <c r="F129" s="2">
        <f>IFERROR(__xludf.DUMMYFUNCTION("""COMPUTED_VALUE"""),3212306.0)</f>
        <v>3212306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IFERROR(__xludf.DUMMYFUNCTION("""COMPUTED_VALUE"""),166.53)</f>
        <v>166.53</v>
      </c>
      <c r="C130" s="2">
        <f>IFERROR(__xludf.DUMMYFUNCTION("""COMPUTED_VALUE"""),170.48)</f>
        <v>170.48</v>
      </c>
      <c r="D130" s="2">
        <f>IFERROR(__xludf.DUMMYFUNCTION("""COMPUTED_VALUE"""),162.6)</f>
        <v>162.6</v>
      </c>
      <c r="E130" s="2">
        <f>IFERROR(__xludf.DUMMYFUNCTION("""COMPUTED_VALUE"""),169.65)</f>
        <v>169.65</v>
      </c>
      <c r="F130" s="2">
        <f>IFERROR(__xludf.DUMMYFUNCTION("""COMPUTED_VALUE"""),6857264.0)</f>
        <v>6857264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IFERROR(__xludf.DUMMYFUNCTION("""COMPUTED_VALUE"""),171.2)</f>
        <v>171.2</v>
      </c>
      <c r="C131" s="2">
        <f>IFERROR(__xludf.DUMMYFUNCTION("""COMPUTED_VALUE"""),174.34)</f>
        <v>174.34</v>
      </c>
      <c r="D131" s="2">
        <f>IFERROR(__xludf.DUMMYFUNCTION("""COMPUTED_VALUE"""),169.32)</f>
        <v>169.32</v>
      </c>
      <c r="E131" s="2">
        <f>IFERROR(__xludf.DUMMYFUNCTION("""COMPUTED_VALUE"""),172.05)</f>
        <v>172.05</v>
      </c>
      <c r="F131" s="2">
        <f>IFERROR(__xludf.DUMMYFUNCTION("""COMPUTED_VALUE"""),4267383.0)</f>
        <v>4267383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IFERROR(__xludf.DUMMYFUNCTION("""COMPUTED_VALUE"""),175.09)</f>
        <v>175.09</v>
      </c>
      <c r="C132" s="2">
        <f>IFERROR(__xludf.DUMMYFUNCTION("""COMPUTED_VALUE"""),175.76)</f>
        <v>175.76</v>
      </c>
      <c r="D132" s="2">
        <f>IFERROR(__xludf.DUMMYFUNCTION("""COMPUTED_VALUE"""),170.22)</f>
        <v>170.22</v>
      </c>
      <c r="E132" s="2">
        <f>IFERROR(__xludf.DUMMYFUNCTION("""COMPUTED_VALUE"""),171.93)</f>
        <v>171.93</v>
      </c>
      <c r="F132" s="2">
        <f>IFERROR(__xludf.DUMMYFUNCTION("""COMPUTED_VALUE"""),4546896.0)</f>
        <v>4546896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IFERROR(__xludf.DUMMYFUNCTION("""COMPUTED_VALUE"""),175.83)</f>
        <v>175.83</v>
      </c>
      <c r="C133" s="2">
        <f>IFERROR(__xludf.DUMMYFUNCTION("""COMPUTED_VALUE"""),184.45)</f>
        <v>184.45</v>
      </c>
      <c r="D133" s="2">
        <f>IFERROR(__xludf.DUMMYFUNCTION("""COMPUTED_VALUE"""),175.27)</f>
        <v>175.27</v>
      </c>
      <c r="E133" s="2">
        <f>IFERROR(__xludf.DUMMYFUNCTION("""COMPUTED_VALUE"""),184.22)</f>
        <v>184.22</v>
      </c>
      <c r="F133" s="2">
        <f>IFERROR(__xludf.DUMMYFUNCTION("""COMPUTED_VALUE"""),8873521.0)</f>
        <v>8873521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IFERROR(__xludf.DUMMYFUNCTION("""COMPUTED_VALUE"""),184.94)</f>
        <v>184.94</v>
      </c>
      <c r="C134" s="2">
        <f>IFERROR(__xludf.DUMMYFUNCTION("""COMPUTED_VALUE"""),187.79)</f>
        <v>187.79</v>
      </c>
      <c r="D134" s="2">
        <f>IFERROR(__xludf.DUMMYFUNCTION("""COMPUTED_VALUE"""),180.07)</f>
        <v>180.07</v>
      </c>
      <c r="E134" s="2">
        <f>IFERROR(__xludf.DUMMYFUNCTION("""COMPUTED_VALUE"""),180.79)</f>
        <v>180.79</v>
      </c>
      <c r="F134" s="2">
        <f>IFERROR(__xludf.DUMMYFUNCTION("""COMPUTED_VALUE"""),5361029.0)</f>
        <v>5361029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IFERROR(__xludf.DUMMYFUNCTION("""COMPUTED_VALUE"""),182.5)</f>
        <v>182.5</v>
      </c>
      <c r="C135" s="2">
        <f>IFERROR(__xludf.DUMMYFUNCTION("""COMPUTED_VALUE"""),185.58)</f>
        <v>185.58</v>
      </c>
      <c r="D135" s="2">
        <f>IFERROR(__xludf.DUMMYFUNCTION("""COMPUTED_VALUE"""),181.11)</f>
        <v>181.11</v>
      </c>
      <c r="E135" s="2">
        <f>IFERROR(__xludf.DUMMYFUNCTION("""COMPUTED_VALUE"""),184.21)</f>
        <v>184.21</v>
      </c>
      <c r="F135" s="2">
        <f>IFERROR(__xludf.DUMMYFUNCTION("""COMPUTED_VALUE"""),3675461.0)</f>
        <v>3675461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IFERROR(__xludf.DUMMYFUNCTION("""COMPUTED_VALUE"""),185.48)</f>
        <v>185.48</v>
      </c>
      <c r="C136" s="2">
        <f>IFERROR(__xludf.DUMMYFUNCTION("""COMPUTED_VALUE"""),189.24)</f>
        <v>189.24</v>
      </c>
      <c r="D136" s="2">
        <f>IFERROR(__xludf.DUMMYFUNCTION("""COMPUTED_VALUE"""),182.1)</f>
        <v>182.1</v>
      </c>
      <c r="E136" s="2">
        <f>IFERROR(__xludf.DUMMYFUNCTION("""COMPUTED_VALUE"""),188.2)</f>
        <v>188.2</v>
      </c>
      <c r="F136" s="2">
        <f>IFERROR(__xludf.DUMMYFUNCTION("""COMPUTED_VALUE"""),4361144.0)</f>
        <v>4361144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IFERROR(__xludf.DUMMYFUNCTION("""COMPUTED_VALUE"""),191.86)</f>
        <v>191.86</v>
      </c>
      <c r="C137" s="2">
        <f>IFERROR(__xludf.DUMMYFUNCTION("""COMPUTED_VALUE"""),193.23)</f>
        <v>193.23</v>
      </c>
      <c r="D137" s="2">
        <f>IFERROR(__xludf.DUMMYFUNCTION("""COMPUTED_VALUE"""),185.15)</f>
        <v>185.15</v>
      </c>
      <c r="E137" s="2">
        <f>IFERROR(__xludf.DUMMYFUNCTION("""COMPUTED_VALUE"""),185.45)</f>
        <v>185.45</v>
      </c>
      <c r="F137" s="2">
        <f>IFERROR(__xludf.DUMMYFUNCTION("""COMPUTED_VALUE"""),3933188.0)</f>
        <v>3933188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IFERROR(__xludf.DUMMYFUNCTION("""COMPUTED_VALUE"""),182.47)</f>
        <v>182.47</v>
      </c>
      <c r="C138" s="2">
        <f>IFERROR(__xludf.DUMMYFUNCTION("""COMPUTED_VALUE"""),183.95)</f>
        <v>183.95</v>
      </c>
      <c r="D138" s="2">
        <f>IFERROR(__xludf.DUMMYFUNCTION("""COMPUTED_VALUE"""),175.55)</f>
        <v>175.55</v>
      </c>
      <c r="E138" s="2">
        <f>IFERROR(__xludf.DUMMYFUNCTION("""COMPUTED_VALUE"""),176.33)</f>
        <v>176.33</v>
      </c>
      <c r="F138" s="2">
        <f>IFERROR(__xludf.DUMMYFUNCTION("""COMPUTED_VALUE"""),6092855.0)</f>
        <v>6092855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IFERROR(__xludf.DUMMYFUNCTION("""COMPUTED_VALUE"""),178.68)</f>
        <v>178.68</v>
      </c>
      <c r="C139" s="2">
        <f>IFERROR(__xludf.DUMMYFUNCTION("""COMPUTED_VALUE"""),180.81)</f>
        <v>180.81</v>
      </c>
      <c r="D139" s="2">
        <f>IFERROR(__xludf.DUMMYFUNCTION("""COMPUTED_VALUE"""),175.85)</f>
        <v>175.85</v>
      </c>
      <c r="E139" s="2">
        <f>IFERROR(__xludf.DUMMYFUNCTION("""COMPUTED_VALUE"""),175.9)</f>
        <v>175.9</v>
      </c>
      <c r="F139" s="2">
        <f>IFERROR(__xludf.DUMMYFUNCTION("""COMPUTED_VALUE"""),4020471.0)</f>
        <v>4020471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IFERROR(__xludf.DUMMYFUNCTION("""COMPUTED_VALUE"""),176.11)</f>
        <v>176.11</v>
      </c>
      <c r="C140" s="2">
        <f>IFERROR(__xludf.DUMMYFUNCTION("""COMPUTED_VALUE"""),177.35)</f>
        <v>177.35</v>
      </c>
      <c r="D140" s="2">
        <f>IFERROR(__xludf.DUMMYFUNCTION("""COMPUTED_VALUE"""),172.86)</f>
        <v>172.86</v>
      </c>
      <c r="E140" s="2">
        <f>IFERROR(__xludf.DUMMYFUNCTION("""COMPUTED_VALUE"""),174.8)</f>
        <v>174.8</v>
      </c>
      <c r="F140" s="2">
        <f>IFERROR(__xludf.DUMMYFUNCTION("""COMPUTED_VALUE"""),3464828.0)</f>
        <v>3464828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IFERROR(__xludf.DUMMYFUNCTION("""COMPUTED_VALUE"""),177.0)</f>
        <v>177</v>
      </c>
      <c r="C141" s="2">
        <f>IFERROR(__xludf.DUMMYFUNCTION("""COMPUTED_VALUE"""),181.8)</f>
        <v>181.8</v>
      </c>
      <c r="D141" s="2">
        <f>IFERROR(__xludf.DUMMYFUNCTION("""COMPUTED_VALUE"""),176.31)</f>
        <v>176.31</v>
      </c>
      <c r="E141" s="2">
        <f>IFERROR(__xludf.DUMMYFUNCTION("""COMPUTED_VALUE"""),179.29)</f>
        <v>179.29</v>
      </c>
      <c r="F141" s="2">
        <f>IFERROR(__xludf.DUMMYFUNCTION("""COMPUTED_VALUE"""),3775621.0)</f>
        <v>3775621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IFERROR(__xludf.DUMMYFUNCTION("""COMPUTED_VALUE"""),174.2)</f>
        <v>174.2</v>
      </c>
      <c r="C142" s="2">
        <f>IFERROR(__xludf.DUMMYFUNCTION("""COMPUTED_VALUE"""),174.3)</f>
        <v>174.3</v>
      </c>
      <c r="D142" s="2">
        <f>IFERROR(__xludf.DUMMYFUNCTION("""COMPUTED_VALUE"""),168.25)</f>
        <v>168.25</v>
      </c>
      <c r="E142" s="2">
        <f>IFERROR(__xludf.DUMMYFUNCTION("""COMPUTED_VALUE"""),170.0)</f>
        <v>170</v>
      </c>
      <c r="F142" s="2">
        <f>IFERROR(__xludf.DUMMYFUNCTION("""COMPUTED_VALUE"""),6916274.0)</f>
        <v>6916274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IFERROR(__xludf.DUMMYFUNCTION("""COMPUTED_VALUE"""),174.32)</f>
        <v>174.32</v>
      </c>
      <c r="C143" s="2">
        <f>IFERROR(__xludf.DUMMYFUNCTION("""COMPUTED_VALUE"""),175.4)</f>
        <v>175.4</v>
      </c>
      <c r="D143" s="2">
        <f>IFERROR(__xludf.DUMMYFUNCTION("""COMPUTED_VALUE"""),167.02)</f>
        <v>167.02</v>
      </c>
      <c r="E143" s="2">
        <f>IFERROR(__xludf.DUMMYFUNCTION("""COMPUTED_VALUE"""),168.27)</f>
        <v>168.27</v>
      </c>
      <c r="F143" s="2">
        <f>IFERROR(__xludf.DUMMYFUNCTION("""COMPUTED_VALUE"""),4820652.0)</f>
        <v>4820652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IFERROR(__xludf.DUMMYFUNCTION("""COMPUTED_VALUE"""),170.96)</f>
        <v>170.96</v>
      </c>
      <c r="C144" s="2">
        <f>IFERROR(__xludf.DUMMYFUNCTION("""COMPUTED_VALUE"""),175.35)</f>
        <v>175.35</v>
      </c>
      <c r="D144" s="2">
        <f>IFERROR(__xludf.DUMMYFUNCTION("""COMPUTED_VALUE"""),169.72)</f>
        <v>169.72</v>
      </c>
      <c r="E144" s="2">
        <f>IFERROR(__xludf.DUMMYFUNCTION("""COMPUTED_VALUE"""),174.83)</f>
        <v>174.83</v>
      </c>
      <c r="F144" s="2">
        <f>IFERROR(__xludf.DUMMYFUNCTION("""COMPUTED_VALUE"""),4764960.0)</f>
        <v>4764960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IFERROR(__xludf.DUMMYFUNCTION("""COMPUTED_VALUE"""),176.98)</f>
        <v>176.98</v>
      </c>
      <c r="C145" s="2">
        <f>IFERROR(__xludf.DUMMYFUNCTION("""COMPUTED_VALUE"""),181.36)</f>
        <v>181.36</v>
      </c>
      <c r="D145" s="2">
        <f>IFERROR(__xludf.DUMMYFUNCTION("""COMPUTED_VALUE"""),176.98)</f>
        <v>176.98</v>
      </c>
      <c r="E145" s="2">
        <f>IFERROR(__xludf.DUMMYFUNCTION("""COMPUTED_VALUE"""),177.71)</f>
        <v>177.71</v>
      </c>
      <c r="F145" s="2">
        <f>IFERROR(__xludf.DUMMYFUNCTION("""COMPUTED_VALUE"""),3489661.0)</f>
        <v>3489661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IFERROR(__xludf.DUMMYFUNCTION("""COMPUTED_VALUE"""),175.23)</f>
        <v>175.23</v>
      </c>
      <c r="C146" s="2">
        <f>IFERROR(__xludf.DUMMYFUNCTION("""COMPUTED_VALUE"""),177.71)</f>
        <v>177.71</v>
      </c>
      <c r="D146" s="2">
        <f>IFERROR(__xludf.DUMMYFUNCTION("""COMPUTED_VALUE"""),174.82)</f>
        <v>174.82</v>
      </c>
      <c r="E146" s="2">
        <f>IFERROR(__xludf.DUMMYFUNCTION("""COMPUTED_VALUE"""),176.58)</f>
        <v>176.58</v>
      </c>
      <c r="F146" s="2">
        <f>IFERROR(__xludf.DUMMYFUNCTION("""COMPUTED_VALUE"""),2464778.0)</f>
        <v>2464778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IFERROR(__xludf.DUMMYFUNCTION("""COMPUTED_VALUE"""),172.5)</f>
        <v>172.5</v>
      </c>
      <c r="C147" s="2">
        <f>IFERROR(__xludf.DUMMYFUNCTION("""COMPUTED_VALUE"""),172.8)</f>
        <v>172.8</v>
      </c>
      <c r="D147" s="2">
        <f>IFERROR(__xludf.DUMMYFUNCTION("""COMPUTED_VALUE"""),164.51)</f>
        <v>164.51</v>
      </c>
      <c r="E147" s="2">
        <f>IFERROR(__xludf.DUMMYFUNCTION("""COMPUTED_VALUE"""),164.6)</f>
        <v>164.6</v>
      </c>
      <c r="F147" s="2">
        <f>IFERROR(__xludf.DUMMYFUNCTION("""COMPUTED_VALUE"""),5348439.0)</f>
        <v>5348439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IFERROR(__xludf.DUMMYFUNCTION("""COMPUTED_VALUE"""),163.46)</f>
        <v>163.46</v>
      </c>
      <c r="C148" s="2">
        <f>IFERROR(__xludf.DUMMYFUNCTION("""COMPUTED_VALUE"""),164.72)</f>
        <v>164.72</v>
      </c>
      <c r="D148" s="2">
        <f>IFERROR(__xludf.DUMMYFUNCTION("""COMPUTED_VALUE"""),159.53)</f>
        <v>159.53</v>
      </c>
      <c r="E148" s="2">
        <f>IFERROR(__xludf.DUMMYFUNCTION("""COMPUTED_VALUE"""),161.05)</f>
        <v>161.05</v>
      </c>
      <c r="F148" s="2">
        <f>IFERROR(__xludf.DUMMYFUNCTION("""COMPUTED_VALUE"""),7812111.0)</f>
        <v>7812111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IFERROR(__xludf.DUMMYFUNCTION("""COMPUTED_VALUE"""),171.36)</f>
        <v>171.36</v>
      </c>
      <c r="C149" s="2">
        <f>IFERROR(__xludf.DUMMYFUNCTION("""COMPUTED_VALUE"""),172.44)</f>
        <v>172.44</v>
      </c>
      <c r="D149" s="2">
        <f>IFERROR(__xludf.DUMMYFUNCTION("""COMPUTED_VALUE"""),165.09)</f>
        <v>165.09</v>
      </c>
      <c r="E149" s="2">
        <f>IFERROR(__xludf.DUMMYFUNCTION("""COMPUTED_VALUE"""),166.67)</f>
        <v>166.67</v>
      </c>
      <c r="F149" s="2">
        <f>IFERROR(__xludf.DUMMYFUNCTION("""COMPUTED_VALUE"""),7332568.0)</f>
        <v>7332568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IFERROR(__xludf.DUMMYFUNCTION("""COMPUTED_VALUE"""),168.01)</f>
        <v>168.01</v>
      </c>
      <c r="C150" s="2">
        <f>IFERROR(__xludf.DUMMYFUNCTION("""COMPUTED_VALUE"""),168.61)</f>
        <v>168.61</v>
      </c>
      <c r="D150" s="2">
        <f>IFERROR(__xludf.DUMMYFUNCTION("""COMPUTED_VALUE"""),163.62)</f>
        <v>163.62</v>
      </c>
      <c r="E150" s="2">
        <f>IFERROR(__xludf.DUMMYFUNCTION("""COMPUTED_VALUE"""),166.67)</f>
        <v>166.67</v>
      </c>
      <c r="F150" s="2">
        <f>IFERROR(__xludf.DUMMYFUNCTION("""COMPUTED_VALUE"""),3540487.0)</f>
        <v>3540487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IFERROR(__xludf.DUMMYFUNCTION("""COMPUTED_VALUE"""),157.23)</f>
        <v>157.23</v>
      </c>
      <c r="C151" s="2">
        <f>IFERROR(__xludf.DUMMYFUNCTION("""COMPUTED_VALUE"""),160.72)</f>
        <v>160.72</v>
      </c>
      <c r="D151" s="2">
        <f>IFERROR(__xludf.DUMMYFUNCTION("""COMPUTED_VALUE"""),154.17)</f>
        <v>154.17</v>
      </c>
      <c r="E151" s="2">
        <f>IFERROR(__xludf.DUMMYFUNCTION("""COMPUTED_VALUE"""),156.33)</f>
        <v>156.33</v>
      </c>
      <c r="F151" s="2">
        <f>IFERROR(__xludf.DUMMYFUNCTION("""COMPUTED_VALUE"""),1.1725254E7)</f>
        <v>11725254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IFERROR(__xludf.DUMMYFUNCTION("""COMPUTED_VALUE"""),157.85)</f>
        <v>157.85</v>
      </c>
      <c r="C152" s="2">
        <f>IFERROR(__xludf.DUMMYFUNCTION("""COMPUTED_VALUE"""),158.95)</f>
        <v>158.95</v>
      </c>
      <c r="D152" s="2">
        <f>IFERROR(__xludf.DUMMYFUNCTION("""COMPUTED_VALUE"""),153.32)</f>
        <v>153.32</v>
      </c>
      <c r="E152" s="2">
        <f>IFERROR(__xludf.DUMMYFUNCTION("""COMPUTED_VALUE"""),154.07)</f>
        <v>154.07</v>
      </c>
      <c r="F152" s="2">
        <f>IFERROR(__xludf.DUMMYFUNCTION("""COMPUTED_VALUE"""),4363803.0)</f>
        <v>4363803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IFERROR(__xludf.DUMMYFUNCTION("""COMPUTED_VALUE"""),155.41)</f>
        <v>155.41</v>
      </c>
      <c r="C153" s="2">
        <f>IFERROR(__xludf.DUMMYFUNCTION("""COMPUTED_VALUE"""),158.83)</f>
        <v>158.83</v>
      </c>
      <c r="D153" s="2">
        <f>IFERROR(__xludf.DUMMYFUNCTION("""COMPUTED_VALUE"""),153.96)</f>
        <v>153.96</v>
      </c>
      <c r="E153" s="2">
        <f>IFERROR(__xludf.DUMMYFUNCTION("""COMPUTED_VALUE"""),155.02)</f>
        <v>155.02</v>
      </c>
      <c r="F153" s="2">
        <f>IFERROR(__xludf.DUMMYFUNCTION("""COMPUTED_VALUE"""),3248942.0)</f>
        <v>3248942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IFERROR(__xludf.DUMMYFUNCTION("""COMPUTED_VALUE"""),153.3)</f>
        <v>153.3</v>
      </c>
      <c r="C154" s="2">
        <f>IFERROR(__xludf.DUMMYFUNCTION("""COMPUTED_VALUE"""),155.43)</f>
        <v>155.43</v>
      </c>
      <c r="D154" s="2">
        <f>IFERROR(__xludf.DUMMYFUNCTION("""COMPUTED_VALUE"""),151.37)</f>
        <v>151.37</v>
      </c>
      <c r="E154" s="2">
        <f>IFERROR(__xludf.DUMMYFUNCTION("""COMPUTED_VALUE"""),153.37)</f>
        <v>153.37</v>
      </c>
      <c r="F154" s="2">
        <f>IFERROR(__xludf.DUMMYFUNCTION("""COMPUTED_VALUE"""),3974439.0)</f>
        <v>3974439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IFERROR(__xludf.DUMMYFUNCTION("""COMPUTED_VALUE"""),151.54)</f>
        <v>151.54</v>
      </c>
      <c r="C155" s="2">
        <f>IFERROR(__xludf.DUMMYFUNCTION("""COMPUTED_VALUE"""),153.15)</f>
        <v>153.15</v>
      </c>
      <c r="D155" s="2">
        <f>IFERROR(__xludf.DUMMYFUNCTION("""COMPUTED_VALUE"""),150.07)</f>
        <v>150.07</v>
      </c>
      <c r="E155" s="2">
        <f>IFERROR(__xludf.DUMMYFUNCTION("""COMPUTED_VALUE"""),152.86)</f>
        <v>152.86</v>
      </c>
      <c r="F155" s="2">
        <f>IFERROR(__xludf.DUMMYFUNCTION("""COMPUTED_VALUE"""),3136721.0)</f>
        <v>3136721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IFERROR(__xludf.DUMMYFUNCTION("""COMPUTED_VALUE"""),151.57)</f>
        <v>151.57</v>
      </c>
      <c r="C156" s="2">
        <f>IFERROR(__xludf.DUMMYFUNCTION("""COMPUTED_VALUE"""),153.4)</f>
        <v>153.4</v>
      </c>
      <c r="D156" s="2">
        <f>IFERROR(__xludf.DUMMYFUNCTION("""COMPUTED_VALUE"""),150.08)</f>
        <v>150.08</v>
      </c>
      <c r="E156" s="2">
        <f>IFERROR(__xludf.DUMMYFUNCTION("""COMPUTED_VALUE"""),151.1)</f>
        <v>151.1</v>
      </c>
      <c r="F156" s="2">
        <f>IFERROR(__xludf.DUMMYFUNCTION("""COMPUTED_VALUE"""),2644577.0)</f>
        <v>2644577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IFERROR(__xludf.DUMMYFUNCTION("""COMPUTED_VALUE"""),151.2)</f>
        <v>151.2</v>
      </c>
      <c r="C157" s="2">
        <f>IFERROR(__xludf.DUMMYFUNCTION("""COMPUTED_VALUE"""),152.75)</f>
        <v>152.75</v>
      </c>
      <c r="D157" s="2">
        <f>IFERROR(__xludf.DUMMYFUNCTION("""COMPUTED_VALUE"""),148.84)</f>
        <v>148.84</v>
      </c>
      <c r="E157" s="2">
        <f>IFERROR(__xludf.DUMMYFUNCTION("""COMPUTED_VALUE"""),149.69)</f>
        <v>149.69</v>
      </c>
      <c r="F157" s="2">
        <f>IFERROR(__xludf.DUMMYFUNCTION("""COMPUTED_VALUE"""),3561562.0)</f>
        <v>3561562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IFERROR(__xludf.DUMMYFUNCTION("""COMPUTED_VALUE"""),149.87)</f>
        <v>149.87</v>
      </c>
      <c r="C158" s="2">
        <f>IFERROR(__xludf.DUMMYFUNCTION("""COMPUTED_VALUE"""),150.89)</f>
        <v>150.89</v>
      </c>
      <c r="D158" s="2">
        <f>IFERROR(__xludf.DUMMYFUNCTION("""COMPUTED_VALUE"""),146.09)</f>
        <v>146.09</v>
      </c>
      <c r="E158" s="2">
        <f>IFERROR(__xludf.DUMMYFUNCTION("""COMPUTED_VALUE"""),146.94)</f>
        <v>146.94</v>
      </c>
      <c r="F158" s="2">
        <f>IFERROR(__xludf.DUMMYFUNCTION("""COMPUTED_VALUE"""),4348368.0)</f>
        <v>4348368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IFERROR(__xludf.DUMMYFUNCTION("""COMPUTED_VALUE"""),144.49)</f>
        <v>144.49</v>
      </c>
      <c r="C159" s="2">
        <f>IFERROR(__xludf.DUMMYFUNCTION("""COMPUTED_VALUE"""),147.86)</f>
        <v>147.86</v>
      </c>
      <c r="D159" s="2">
        <f>IFERROR(__xludf.DUMMYFUNCTION("""COMPUTED_VALUE"""),142.4)</f>
        <v>142.4</v>
      </c>
      <c r="E159" s="2">
        <f>IFERROR(__xludf.DUMMYFUNCTION("""COMPUTED_VALUE"""),147.63)</f>
        <v>147.63</v>
      </c>
      <c r="F159" s="2">
        <f>IFERROR(__xludf.DUMMYFUNCTION("""COMPUTED_VALUE"""),5852293.0)</f>
        <v>5852293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IFERROR(__xludf.DUMMYFUNCTION("""COMPUTED_VALUE"""),149.06)</f>
        <v>149.06</v>
      </c>
      <c r="C160" s="2">
        <f>IFERROR(__xludf.DUMMYFUNCTION("""COMPUTED_VALUE"""),153.11)</f>
        <v>153.11</v>
      </c>
      <c r="D160" s="2">
        <f>IFERROR(__xludf.DUMMYFUNCTION("""COMPUTED_VALUE"""),149.06)</f>
        <v>149.06</v>
      </c>
      <c r="E160" s="2">
        <f>IFERROR(__xludf.DUMMYFUNCTION("""COMPUTED_VALUE"""),151.88)</f>
        <v>151.88</v>
      </c>
      <c r="F160" s="2">
        <f>IFERROR(__xludf.DUMMYFUNCTION("""COMPUTED_VALUE"""),5671008.0)</f>
        <v>5671008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IFERROR(__xludf.DUMMYFUNCTION("""COMPUTED_VALUE"""),153.88)</f>
        <v>153.88</v>
      </c>
      <c r="C161" s="2">
        <f>IFERROR(__xludf.DUMMYFUNCTION("""COMPUTED_VALUE"""),154.19)</f>
        <v>154.19</v>
      </c>
      <c r="D161" s="2">
        <f>IFERROR(__xludf.DUMMYFUNCTION("""COMPUTED_VALUE"""),151.55)</f>
        <v>151.55</v>
      </c>
      <c r="E161" s="2">
        <f>IFERROR(__xludf.DUMMYFUNCTION("""COMPUTED_VALUE"""),152.58)</f>
        <v>152.58</v>
      </c>
      <c r="F161" s="2">
        <f>IFERROR(__xludf.DUMMYFUNCTION("""COMPUTED_VALUE"""),4994093.0)</f>
        <v>4994093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IFERROR(__xludf.DUMMYFUNCTION("""COMPUTED_VALUE"""),151.87)</f>
        <v>151.87</v>
      </c>
      <c r="C162" s="2">
        <f>IFERROR(__xludf.DUMMYFUNCTION("""COMPUTED_VALUE"""),157.46)</f>
        <v>157.46</v>
      </c>
      <c r="D162" s="2">
        <f>IFERROR(__xludf.DUMMYFUNCTION("""COMPUTED_VALUE"""),151.8)</f>
        <v>151.8</v>
      </c>
      <c r="E162" s="2">
        <f>IFERROR(__xludf.DUMMYFUNCTION("""COMPUTED_VALUE"""),155.7)</f>
        <v>155.7</v>
      </c>
      <c r="F162" s="2">
        <f>IFERROR(__xludf.DUMMYFUNCTION("""COMPUTED_VALUE"""),1.0302589E7)</f>
        <v>10302589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IFERROR(__xludf.DUMMYFUNCTION("""COMPUTED_VALUE"""),161.55)</f>
        <v>161.55</v>
      </c>
      <c r="C163" s="2">
        <f>IFERROR(__xludf.DUMMYFUNCTION("""COMPUTED_VALUE"""),161.93)</f>
        <v>161.93</v>
      </c>
      <c r="D163" s="2">
        <f>IFERROR(__xludf.DUMMYFUNCTION("""COMPUTED_VALUE"""),145.4)</f>
        <v>145.4</v>
      </c>
      <c r="E163" s="2">
        <f>IFERROR(__xludf.DUMMYFUNCTION("""COMPUTED_VALUE"""),147.67)</f>
        <v>147.67</v>
      </c>
      <c r="F163" s="2">
        <f>IFERROR(__xludf.DUMMYFUNCTION("""COMPUTED_VALUE"""),1.4065805E7)</f>
        <v>14065805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IFERROR(__xludf.DUMMYFUNCTION("""COMPUTED_VALUE"""),147.1)</f>
        <v>147.1</v>
      </c>
      <c r="C164" s="2">
        <f>IFERROR(__xludf.DUMMYFUNCTION("""COMPUTED_VALUE"""),153.6)</f>
        <v>153.6</v>
      </c>
      <c r="D164" s="2">
        <f>IFERROR(__xludf.DUMMYFUNCTION("""COMPUTED_VALUE"""),146.87)</f>
        <v>146.87</v>
      </c>
      <c r="E164" s="2">
        <f>IFERROR(__xludf.DUMMYFUNCTION("""COMPUTED_VALUE"""),152.55)</f>
        <v>152.55</v>
      </c>
      <c r="F164" s="2">
        <f>IFERROR(__xludf.DUMMYFUNCTION("""COMPUTED_VALUE"""),6322800.0)</f>
        <v>6322800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IFERROR(__xludf.DUMMYFUNCTION("""COMPUTED_VALUE"""),152.82)</f>
        <v>152.82</v>
      </c>
      <c r="C165" s="2">
        <f>IFERROR(__xludf.DUMMYFUNCTION("""COMPUTED_VALUE"""),154.97)</f>
        <v>154.97</v>
      </c>
      <c r="D165" s="2">
        <f>IFERROR(__xludf.DUMMYFUNCTION("""COMPUTED_VALUE"""),148.37)</f>
        <v>148.37</v>
      </c>
      <c r="E165" s="2">
        <f>IFERROR(__xludf.DUMMYFUNCTION("""COMPUTED_VALUE"""),148.75)</f>
        <v>148.75</v>
      </c>
      <c r="F165" s="2">
        <f>IFERROR(__xludf.DUMMYFUNCTION("""COMPUTED_VALUE"""),5474615.0)</f>
        <v>5474615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IFERROR(__xludf.DUMMYFUNCTION("""COMPUTED_VALUE"""),148.08)</f>
        <v>148.08</v>
      </c>
      <c r="C166" s="2">
        <f>IFERROR(__xludf.DUMMYFUNCTION("""COMPUTED_VALUE"""),153.77)</f>
        <v>153.77</v>
      </c>
      <c r="D166" s="2">
        <f>IFERROR(__xludf.DUMMYFUNCTION("""COMPUTED_VALUE"""),147.96)</f>
        <v>147.96</v>
      </c>
      <c r="E166" s="2">
        <f>IFERROR(__xludf.DUMMYFUNCTION("""COMPUTED_VALUE"""),153.3)</f>
        <v>153.3</v>
      </c>
      <c r="F166" s="2">
        <f>IFERROR(__xludf.DUMMYFUNCTION("""COMPUTED_VALUE"""),4601099.0)</f>
        <v>4601099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IFERROR(__xludf.DUMMYFUNCTION("""COMPUTED_VALUE"""),152.99)</f>
        <v>152.99</v>
      </c>
      <c r="C167" s="2">
        <f>IFERROR(__xludf.DUMMYFUNCTION("""COMPUTED_VALUE"""),156.74)</f>
        <v>156.74</v>
      </c>
      <c r="D167" s="2">
        <f>IFERROR(__xludf.DUMMYFUNCTION("""COMPUTED_VALUE"""),151.87)</f>
        <v>151.87</v>
      </c>
      <c r="E167" s="2">
        <f>IFERROR(__xludf.DUMMYFUNCTION("""COMPUTED_VALUE"""),155.34)</f>
        <v>155.34</v>
      </c>
      <c r="F167" s="2">
        <f>IFERROR(__xludf.DUMMYFUNCTION("""COMPUTED_VALUE"""),3573080.0)</f>
        <v>3573080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IFERROR(__xludf.DUMMYFUNCTION("""COMPUTED_VALUE"""),156.0)</f>
        <v>156</v>
      </c>
      <c r="C168" s="2">
        <f>IFERROR(__xludf.DUMMYFUNCTION("""COMPUTED_VALUE"""),158.5)</f>
        <v>158.5</v>
      </c>
      <c r="D168" s="2">
        <f>IFERROR(__xludf.DUMMYFUNCTION("""COMPUTED_VALUE"""),155.56)</f>
        <v>155.56</v>
      </c>
      <c r="E168" s="2">
        <f>IFERROR(__xludf.DUMMYFUNCTION("""COMPUTED_VALUE"""),156.85)</f>
        <v>156.85</v>
      </c>
      <c r="F168" s="2">
        <f>IFERROR(__xludf.DUMMYFUNCTION("""COMPUTED_VALUE"""),4404132.0)</f>
        <v>4404132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IFERROR(__xludf.DUMMYFUNCTION("""COMPUTED_VALUE"""),158.1)</f>
        <v>158.1</v>
      </c>
      <c r="C169" s="2">
        <f>IFERROR(__xludf.DUMMYFUNCTION("""COMPUTED_VALUE"""),160.02)</f>
        <v>160.02</v>
      </c>
      <c r="D169" s="2">
        <f>IFERROR(__xludf.DUMMYFUNCTION("""COMPUTED_VALUE"""),156.75)</f>
        <v>156.75</v>
      </c>
      <c r="E169" s="2">
        <f>IFERROR(__xludf.DUMMYFUNCTION("""COMPUTED_VALUE"""),157.08)</f>
        <v>157.08</v>
      </c>
      <c r="F169" s="2">
        <f>IFERROR(__xludf.DUMMYFUNCTION("""COMPUTED_VALUE"""),3685404.0)</f>
        <v>3685404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IFERROR(__xludf.DUMMYFUNCTION("""COMPUTED_VALUE"""),156.3)</f>
        <v>156.3</v>
      </c>
      <c r="C170" s="2">
        <f>IFERROR(__xludf.DUMMYFUNCTION("""COMPUTED_VALUE"""),159.77)</f>
        <v>159.77</v>
      </c>
      <c r="D170" s="2">
        <f>IFERROR(__xludf.DUMMYFUNCTION("""COMPUTED_VALUE"""),155.99)</f>
        <v>155.99</v>
      </c>
      <c r="E170" s="2">
        <f>IFERROR(__xludf.DUMMYFUNCTION("""COMPUTED_VALUE"""),159.38)</f>
        <v>159.38</v>
      </c>
      <c r="F170" s="2">
        <f>IFERROR(__xludf.DUMMYFUNCTION("""COMPUTED_VALUE"""),3219056.0)</f>
        <v>3219056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IFERROR(__xludf.DUMMYFUNCTION("""COMPUTED_VALUE"""),157.49)</f>
        <v>157.49</v>
      </c>
      <c r="C171" s="2">
        <f>IFERROR(__xludf.DUMMYFUNCTION("""COMPUTED_VALUE"""),159.01)</f>
        <v>159.01</v>
      </c>
      <c r="D171" s="2">
        <f>IFERROR(__xludf.DUMMYFUNCTION("""COMPUTED_VALUE"""),155.97)</f>
        <v>155.97</v>
      </c>
      <c r="E171" s="2">
        <f>IFERROR(__xludf.DUMMYFUNCTION("""COMPUTED_VALUE"""),157.49)</f>
        <v>157.49</v>
      </c>
      <c r="F171" s="2">
        <f>IFERROR(__xludf.DUMMYFUNCTION("""COMPUTED_VALUE"""),2161261.0)</f>
        <v>2161261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IFERROR(__xludf.DUMMYFUNCTION("""COMPUTED_VALUE"""),153.82)</f>
        <v>153.82</v>
      </c>
      <c r="C172" s="2">
        <f>IFERROR(__xludf.DUMMYFUNCTION("""COMPUTED_VALUE"""),159.95)</f>
        <v>159.95</v>
      </c>
      <c r="D172" s="2">
        <f>IFERROR(__xludf.DUMMYFUNCTION("""COMPUTED_VALUE"""),153.33)</f>
        <v>153.33</v>
      </c>
      <c r="E172" s="2">
        <f>IFERROR(__xludf.DUMMYFUNCTION("""COMPUTED_VALUE"""),159.84)</f>
        <v>159.84</v>
      </c>
      <c r="F172" s="2">
        <f>IFERROR(__xludf.DUMMYFUNCTION("""COMPUTED_VALUE"""),2884181.0)</f>
        <v>2884181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IFERROR(__xludf.DUMMYFUNCTION("""COMPUTED_VALUE"""),165.21)</f>
        <v>165.21</v>
      </c>
      <c r="C173" s="2">
        <f>IFERROR(__xludf.DUMMYFUNCTION("""COMPUTED_VALUE"""),167.75)</f>
        <v>167.75</v>
      </c>
      <c r="D173" s="2">
        <f>IFERROR(__xludf.DUMMYFUNCTION("""COMPUTED_VALUE"""),163.92)</f>
        <v>163.92</v>
      </c>
      <c r="E173" s="2">
        <f>IFERROR(__xludf.DUMMYFUNCTION("""COMPUTED_VALUE"""),165.95)</f>
        <v>165.95</v>
      </c>
      <c r="F173" s="2">
        <f>IFERROR(__xludf.DUMMYFUNCTION("""COMPUTED_VALUE"""),7728682.0)</f>
        <v>7728682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IFERROR(__xludf.DUMMYFUNCTION("""COMPUTED_VALUE"""),166.27)</f>
        <v>166.27</v>
      </c>
      <c r="C174" s="2">
        <f>IFERROR(__xludf.DUMMYFUNCTION("""COMPUTED_VALUE"""),172.35)</f>
        <v>172.35</v>
      </c>
      <c r="D174" s="2">
        <f>IFERROR(__xludf.DUMMYFUNCTION("""COMPUTED_VALUE"""),166.26)</f>
        <v>166.26</v>
      </c>
      <c r="E174" s="2">
        <f>IFERROR(__xludf.DUMMYFUNCTION("""COMPUTED_VALUE"""),170.17)</f>
        <v>170.17</v>
      </c>
      <c r="F174" s="2">
        <f>IFERROR(__xludf.DUMMYFUNCTION("""COMPUTED_VALUE"""),5628752.0)</f>
        <v>5628752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IFERROR(__xludf.DUMMYFUNCTION("""COMPUTED_VALUE"""),168.92)</f>
        <v>168.92</v>
      </c>
      <c r="C175" s="2">
        <f>IFERROR(__xludf.DUMMYFUNCTION("""COMPUTED_VALUE"""),171.52)</f>
        <v>171.52</v>
      </c>
      <c r="D175" s="2">
        <f>IFERROR(__xludf.DUMMYFUNCTION("""COMPUTED_VALUE"""),166.47)</f>
        <v>166.47</v>
      </c>
      <c r="E175" s="2">
        <f>IFERROR(__xludf.DUMMYFUNCTION("""COMPUTED_VALUE"""),166.83)</f>
        <v>166.83</v>
      </c>
      <c r="F175" s="2">
        <f>IFERROR(__xludf.DUMMYFUNCTION("""COMPUTED_VALUE"""),3957143.0)</f>
        <v>3957143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IFERROR(__xludf.DUMMYFUNCTION("""COMPUTED_VALUE"""),166.23)</f>
        <v>166.23</v>
      </c>
      <c r="C176" s="2">
        <f>IFERROR(__xludf.DUMMYFUNCTION("""COMPUTED_VALUE"""),167.88)</f>
        <v>167.88</v>
      </c>
      <c r="D176" s="2">
        <f>IFERROR(__xludf.DUMMYFUNCTION("""COMPUTED_VALUE"""),163.79)</f>
        <v>163.79</v>
      </c>
      <c r="E176" s="2">
        <f>IFERROR(__xludf.DUMMYFUNCTION("""COMPUTED_VALUE"""),165.34)</f>
        <v>165.34</v>
      </c>
      <c r="F176" s="2">
        <f>IFERROR(__xludf.DUMMYFUNCTION("""COMPUTED_VALUE"""),2714538.0)</f>
        <v>2714538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IFERROR(__xludf.DUMMYFUNCTION("""COMPUTED_VALUE"""),166.89)</f>
        <v>166.89</v>
      </c>
      <c r="C177" s="2">
        <f>IFERROR(__xludf.DUMMYFUNCTION("""COMPUTED_VALUE"""),167.4)</f>
        <v>167.4</v>
      </c>
      <c r="D177" s="2">
        <f>IFERROR(__xludf.DUMMYFUNCTION("""COMPUTED_VALUE"""),161.13)</f>
        <v>161.13</v>
      </c>
      <c r="E177" s="2">
        <f>IFERROR(__xludf.DUMMYFUNCTION("""COMPUTED_VALUE"""),162.98)</f>
        <v>162.98</v>
      </c>
      <c r="F177" s="2">
        <f>IFERROR(__xludf.DUMMYFUNCTION("""COMPUTED_VALUE"""),4021612.0)</f>
        <v>4021612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IFERROR(__xludf.DUMMYFUNCTION("""COMPUTED_VALUE"""),161.64)</f>
        <v>161.64</v>
      </c>
      <c r="C178" s="2">
        <f>IFERROR(__xludf.DUMMYFUNCTION("""COMPUTED_VALUE"""),163.71)</f>
        <v>163.71</v>
      </c>
      <c r="D178" s="2">
        <f>IFERROR(__xludf.DUMMYFUNCTION("""COMPUTED_VALUE"""),160.26)</f>
        <v>160.26</v>
      </c>
      <c r="E178" s="2">
        <f>IFERROR(__xludf.DUMMYFUNCTION("""COMPUTED_VALUE"""),162.41)</f>
        <v>162.41</v>
      </c>
      <c r="F178" s="2">
        <f>IFERROR(__xludf.DUMMYFUNCTION("""COMPUTED_VALUE"""),6661747.0)</f>
        <v>6661747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IFERROR(__xludf.DUMMYFUNCTION("""COMPUTED_VALUE"""),160.37)</f>
        <v>160.37</v>
      </c>
      <c r="C179" s="2">
        <f>IFERROR(__xludf.DUMMYFUNCTION("""COMPUTED_VALUE"""),162.87)</f>
        <v>162.87</v>
      </c>
      <c r="D179" s="2">
        <f>IFERROR(__xludf.DUMMYFUNCTION("""COMPUTED_VALUE"""),159.57)</f>
        <v>159.57</v>
      </c>
      <c r="E179" s="2">
        <f>IFERROR(__xludf.DUMMYFUNCTION("""COMPUTED_VALUE"""),161.45)</f>
        <v>161.45</v>
      </c>
      <c r="F179" s="2">
        <f>IFERROR(__xludf.DUMMYFUNCTION("""COMPUTED_VALUE"""),2368142.0)</f>
        <v>2368142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IFERROR(__xludf.DUMMYFUNCTION("""COMPUTED_VALUE"""),161.14)</f>
        <v>161.14</v>
      </c>
      <c r="C180" s="2">
        <f>IFERROR(__xludf.DUMMYFUNCTION("""COMPUTED_VALUE"""),161.85)</f>
        <v>161.85</v>
      </c>
      <c r="D180" s="2">
        <f>IFERROR(__xludf.DUMMYFUNCTION("""COMPUTED_VALUE"""),156.96)</f>
        <v>156.96</v>
      </c>
      <c r="E180" s="2">
        <f>IFERROR(__xludf.DUMMYFUNCTION("""COMPUTED_VALUE"""),159.74)</f>
        <v>159.74</v>
      </c>
      <c r="F180" s="2">
        <f>IFERROR(__xludf.DUMMYFUNCTION("""COMPUTED_VALUE"""),3794632.0)</f>
        <v>3794632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IFERROR(__xludf.DUMMYFUNCTION("""COMPUTED_VALUE"""),159.56)</f>
        <v>159.56</v>
      </c>
      <c r="C181" s="2">
        <f>IFERROR(__xludf.DUMMYFUNCTION("""COMPUTED_VALUE"""),161.28)</f>
        <v>161.28</v>
      </c>
      <c r="D181" s="2">
        <f>IFERROR(__xludf.DUMMYFUNCTION("""COMPUTED_VALUE"""),157.94)</f>
        <v>157.94</v>
      </c>
      <c r="E181" s="2">
        <f>IFERROR(__xludf.DUMMYFUNCTION("""COMPUTED_VALUE"""),158.63)</f>
        <v>158.63</v>
      </c>
      <c r="F181" s="2">
        <f>IFERROR(__xludf.DUMMYFUNCTION("""COMPUTED_VALUE"""),3341733.0)</f>
        <v>3341733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IFERROR(__xludf.DUMMYFUNCTION("""COMPUTED_VALUE"""),155.19)</f>
        <v>155.19</v>
      </c>
      <c r="C182" s="2">
        <f>IFERROR(__xludf.DUMMYFUNCTION("""COMPUTED_VALUE"""),156.19)</f>
        <v>156.19</v>
      </c>
      <c r="D182" s="2">
        <f>IFERROR(__xludf.DUMMYFUNCTION("""COMPUTED_VALUE"""),148.54)</f>
        <v>148.54</v>
      </c>
      <c r="E182" s="2">
        <f>IFERROR(__xludf.DUMMYFUNCTION("""COMPUTED_VALUE"""),149.03)</f>
        <v>149.03</v>
      </c>
      <c r="F182" s="2">
        <f>IFERROR(__xludf.DUMMYFUNCTION("""COMPUTED_VALUE"""),6629347.0)</f>
        <v>6629347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IFERROR(__xludf.DUMMYFUNCTION("""COMPUTED_VALUE"""),151.42)</f>
        <v>151.42</v>
      </c>
      <c r="C183" s="2">
        <f>IFERROR(__xludf.DUMMYFUNCTION("""COMPUTED_VALUE"""),152.63)</f>
        <v>152.63</v>
      </c>
      <c r="D183" s="2">
        <f>IFERROR(__xludf.DUMMYFUNCTION("""COMPUTED_VALUE"""),149.67)</f>
        <v>149.67</v>
      </c>
      <c r="E183" s="2">
        <f>IFERROR(__xludf.DUMMYFUNCTION("""COMPUTED_VALUE"""),149.7)</f>
        <v>149.7</v>
      </c>
      <c r="F183" s="2">
        <f>IFERROR(__xludf.DUMMYFUNCTION("""COMPUTED_VALUE"""),2916354.0)</f>
        <v>2916354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IFERROR(__xludf.DUMMYFUNCTION("""COMPUTED_VALUE"""),148.82)</f>
        <v>148.82</v>
      </c>
      <c r="C184" s="2">
        <f>IFERROR(__xludf.DUMMYFUNCTION("""COMPUTED_VALUE"""),150.47)</f>
        <v>150.47</v>
      </c>
      <c r="D184" s="2">
        <f>IFERROR(__xludf.DUMMYFUNCTION("""COMPUTED_VALUE"""),147.67)</f>
        <v>147.67</v>
      </c>
      <c r="E184" s="2">
        <f>IFERROR(__xludf.DUMMYFUNCTION("""COMPUTED_VALUE"""),149.74)</f>
        <v>149.74</v>
      </c>
      <c r="F184" s="2">
        <f>IFERROR(__xludf.DUMMYFUNCTION("""COMPUTED_VALUE"""),3271861.0)</f>
        <v>3271861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IFERROR(__xludf.DUMMYFUNCTION("""COMPUTED_VALUE"""),148.8)</f>
        <v>148.8</v>
      </c>
      <c r="C185" s="2">
        <f>IFERROR(__xludf.DUMMYFUNCTION("""COMPUTED_VALUE"""),150.65)</f>
        <v>150.65</v>
      </c>
      <c r="D185" s="2">
        <f>IFERROR(__xludf.DUMMYFUNCTION("""COMPUTED_VALUE"""),146.51)</f>
        <v>146.51</v>
      </c>
      <c r="E185" s="2">
        <f>IFERROR(__xludf.DUMMYFUNCTION("""COMPUTED_VALUE"""),147.05)</f>
        <v>147.05</v>
      </c>
      <c r="F185" s="2">
        <f>IFERROR(__xludf.DUMMYFUNCTION("""COMPUTED_VALUE"""),3225165.0)</f>
        <v>3225165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IFERROR(__xludf.DUMMYFUNCTION("""COMPUTED_VALUE"""),148.07)</f>
        <v>148.07</v>
      </c>
      <c r="C186" s="2">
        <f>IFERROR(__xludf.DUMMYFUNCTION("""COMPUTED_VALUE"""),149.47)</f>
        <v>149.47</v>
      </c>
      <c r="D186" s="2">
        <f>IFERROR(__xludf.DUMMYFUNCTION("""COMPUTED_VALUE"""),146.1)</f>
        <v>146.1</v>
      </c>
      <c r="E186" s="2">
        <f>IFERROR(__xludf.DUMMYFUNCTION("""COMPUTED_VALUE"""),147.52)</f>
        <v>147.52</v>
      </c>
      <c r="F186" s="2">
        <f>IFERROR(__xludf.DUMMYFUNCTION("""COMPUTED_VALUE"""),3515837.0)</f>
        <v>3515837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IFERROR(__xludf.DUMMYFUNCTION("""COMPUTED_VALUE"""),145.52)</f>
        <v>145.52</v>
      </c>
      <c r="C187" s="2">
        <f>IFERROR(__xludf.DUMMYFUNCTION("""COMPUTED_VALUE"""),151.55)</f>
        <v>151.55</v>
      </c>
      <c r="D187" s="2">
        <f>IFERROR(__xludf.DUMMYFUNCTION("""COMPUTED_VALUE"""),141.79)</f>
        <v>141.79</v>
      </c>
      <c r="E187" s="2">
        <f>IFERROR(__xludf.DUMMYFUNCTION("""COMPUTED_VALUE"""),151.12)</f>
        <v>151.12</v>
      </c>
      <c r="F187" s="2">
        <f>IFERROR(__xludf.DUMMYFUNCTION("""COMPUTED_VALUE"""),5110053.0)</f>
        <v>5110053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IFERROR(__xludf.DUMMYFUNCTION("""COMPUTED_VALUE"""),153.41)</f>
        <v>153.41</v>
      </c>
      <c r="C188" s="2">
        <f>IFERROR(__xludf.DUMMYFUNCTION("""COMPUTED_VALUE"""),155.17)</f>
        <v>155.17</v>
      </c>
      <c r="D188" s="2">
        <f>IFERROR(__xludf.DUMMYFUNCTION("""COMPUTED_VALUE"""),152.46)</f>
        <v>152.46</v>
      </c>
      <c r="E188" s="2">
        <f>IFERROR(__xludf.DUMMYFUNCTION("""COMPUTED_VALUE"""),152.77)</f>
        <v>152.77</v>
      </c>
      <c r="F188" s="2">
        <f>IFERROR(__xludf.DUMMYFUNCTION("""COMPUTED_VALUE"""),4295518.0)</f>
        <v>4295518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IFERROR(__xludf.DUMMYFUNCTION("""COMPUTED_VALUE"""),152.27)</f>
        <v>152.27</v>
      </c>
      <c r="C189" s="2">
        <f>IFERROR(__xludf.DUMMYFUNCTION("""COMPUTED_VALUE"""),153.29)</f>
        <v>153.29</v>
      </c>
      <c r="D189" s="2">
        <f>IFERROR(__xludf.DUMMYFUNCTION("""COMPUTED_VALUE"""),149.8)</f>
        <v>149.8</v>
      </c>
      <c r="E189" s="2">
        <f>IFERROR(__xludf.DUMMYFUNCTION("""COMPUTED_VALUE"""),151.17)</f>
        <v>151.17</v>
      </c>
      <c r="F189" s="2">
        <f>IFERROR(__xludf.DUMMYFUNCTION("""COMPUTED_VALUE"""),3414823.0)</f>
        <v>3414823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IFERROR(__xludf.DUMMYFUNCTION("""COMPUTED_VALUE"""),149.08)</f>
        <v>149.08</v>
      </c>
      <c r="C190" s="2">
        <f>IFERROR(__xludf.DUMMYFUNCTION("""COMPUTED_VALUE"""),151.91)</f>
        <v>151.91</v>
      </c>
      <c r="D190" s="2">
        <f>IFERROR(__xludf.DUMMYFUNCTION("""COMPUTED_VALUE"""),147.87)</f>
        <v>147.87</v>
      </c>
      <c r="E190" s="2">
        <f>IFERROR(__xludf.DUMMYFUNCTION("""COMPUTED_VALUE"""),148.79)</f>
        <v>148.79</v>
      </c>
      <c r="F190" s="2">
        <f>IFERROR(__xludf.DUMMYFUNCTION("""COMPUTED_VALUE"""),4035759.0)</f>
        <v>4035759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IFERROR(__xludf.DUMMYFUNCTION("""COMPUTED_VALUE"""),150.75)</f>
        <v>150.75</v>
      </c>
      <c r="C191" s="2">
        <f>IFERROR(__xludf.DUMMYFUNCTION("""COMPUTED_VALUE"""),152.7)</f>
        <v>152.7</v>
      </c>
      <c r="D191" s="2">
        <f>IFERROR(__xludf.DUMMYFUNCTION("""COMPUTED_VALUE"""),149.24)</f>
        <v>149.24</v>
      </c>
      <c r="E191" s="2">
        <f>IFERROR(__xludf.DUMMYFUNCTION("""COMPUTED_VALUE"""),151.96)</f>
        <v>151.96</v>
      </c>
      <c r="F191" s="2">
        <f>IFERROR(__xludf.DUMMYFUNCTION("""COMPUTED_VALUE"""),3040209.0)</f>
        <v>3040209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IFERROR(__xludf.DUMMYFUNCTION("""COMPUTED_VALUE"""),154.05)</f>
        <v>154.05</v>
      </c>
      <c r="C192" s="2">
        <f>IFERROR(__xludf.DUMMYFUNCTION("""COMPUTED_VALUE"""),155.31)</f>
        <v>155.31</v>
      </c>
      <c r="D192" s="2">
        <f>IFERROR(__xludf.DUMMYFUNCTION("""COMPUTED_VALUE"""),149.67)</f>
        <v>149.67</v>
      </c>
      <c r="E192" s="2">
        <f>IFERROR(__xludf.DUMMYFUNCTION("""COMPUTED_VALUE"""),150.25)</f>
        <v>150.25</v>
      </c>
      <c r="F192" s="2">
        <f>IFERROR(__xludf.DUMMYFUNCTION("""COMPUTED_VALUE"""),3931654.0)</f>
        <v>3931654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IFERROR(__xludf.DUMMYFUNCTION("""COMPUTED_VALUE"""),148.0)</f>
        <v>148</v>
      </c>
      <c r="C193" s="2">
        <f>IFERROR(__xludf.DUMMYFUNCTION("""COMPUTED_VALUE"""),160.35)</f>
        <v>160.35</v>
      </c>
      <c r="D193" s="2">
        <f>IFERROR(__xludf.DUMMYFUNCTION("""COMPUTED_VALUE"""),148.0)</f>
        <v>148</v>
      </c>
      <c r="E193" s="2">
        <f>IFERROR(__xludf.DUMMYFUNCTION("""COMPUTED_VALUE"""),159.95)</f>
        <v>159.95</v>
      </c>
      <c r="F193" s="2">
        <f>IFERROR(__xludf.DUMMYFUNCTION("""COMPUTED_VALUE"""),5659676.0)</f>
        <v>5659676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IFERROR(__xludf.DUMMYFUNCTION("""COMPUTED_VALUE"""),158.5)</f>
        <v>158.5</v>
      </c>
      <c r="C194" s="2">
        <f>IFERROR(__xludf.DUMMYFUNCTION("""COMPUTED_VALUE"""),163.29)</f>
        <v>163.29</v>
      </c>
      <c r="D194" s="2">
        <f>IFERROR(__xludf.DUMMYFUNCTION("""COMPUTED_VALUE"""),158.29)</f>
        <v>158.29</v>
      </c>
      <c r="E194" s="2">
        <f>IFERROR(__xludf.DUMMYFUNCTION("""COMPUTED_VALUE"""),161.81)</f>
        <v>161.81</v>
      </c>
      <c r="F194" s="2">
        <f>IFERROR(__xludf.DUMMYFUNCTION("""COMPUTED_VALUE"""),2901524.0)</f>
        <v>2901524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IFERROR(__xludf.DUMMYFUNCTION("""COMPUTED_VALUE"""),163.0)</f>
        <v>163</v>
      </c>
      <c r="C195" s="2">
        <f>IFERROR(__xludf.DUMMYFUNCTION("""COMPUTED_VALUE"""),166.43)</f>
        <v>166.43</v>
      </c>
      <c r="D195" s="2">
        <f>IFERROR(__xludf.DUMMYFUNCTION("""COMPUTED_VALUE"""),162.5)</f>
        <v>162.5</v>
      </c>
      <c r="E195" s="2">
        <f>IFERROR(__xludf.DUMMYFUNCTION("""COMPUTED_VALUE"""),163.13)</f>
        <v>163.13</v>
      </c>
      <c r="F195" s="2">
        <f>IFERROR(__xludf.DUMMYFUNCTION("""COMPUTED_VALUE"""),3207673.0)</f>
        <v>3207673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IFERROR(__xludf.DUMMYFUNCTION("""COMPUTED_VALUE"""),163.92)</f>
        <v>163.92</v>
      </c>
      <c r="C196" s="2">
        <f>IFERROR(__xludf.DUMMYFUNCTION("""COMPUTED_VALUE"""),165.8)</f>
        <v>165.8</v>
      </c>
      <c r="D196" s="2">
        <f>IFERROR(__xludf.DUMMYFUNCTION("""COMPUTED_VALUE"""),162.44)</f>
        <v>162.44</v>
      </c>
      <c r="E196" s="2">
        <f>IFERROR(__xludf.DUMMYFUNCTION("""COMPUTED_VALUE"""),163.54)</f>
        <v>163.54</v>
      </c>
      <c r="F196" s="2">
        <f>IFERROR(__xludf.DUMMYFUNCTION("""COMPUTED_VALUE"""),2263249.0)</f>
        <v>2263249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IFERROR(__xludf.DUMMYFUNCTION("""COMPUTED_VALUE"""),161.72)</f>
        <v>161.72</v>
      </c>
      <c r="C197" s="2">
        <f>IFERROR(__xludf.DUMMYFUNCTION("""COMPUTED_VALUE"""),163.8)</f>
        <v>163.8</v>
      </c>
      <c r="D197" s="2">
        <f>IFERROR(__xludf.DUMMYFUNCTION("""COMPUTED_VALUE"""),159.31)</f>
        <v>159.31</v>
      </c>
      <c r="E197" s="2">
        <f>IFERROR(__xludf.DUMMYFUNCTION("""COMPUTED_VALUE"""),159.96)</f>
        <v>159.96</v>
      </c>
      <c r="F197" s="2">
        <f>IFERROR(__xludf.DUMMYFUNCTION("""COMPUTED_VALUE"""),2872230.0)</f>
        <v>2872230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IFERROR(__xludf.DUMMYFUNCTION("""COMPUTED_VALUE"""),160.66)</f>
        <v>160.66</v>
      </c>
      <c r="C198" s="2">
        <f>IFERROR(__xludf.DUMMYFUNCTION("""COMPUTED_VALUE"""),161.54)</f>
        <v>161.54</v>
      </c>
      <c r="D198" s="2">
        <f>IFERROR(__xludf.DUMMYFUNCTION("""COMPUTED_VALUE"""),156.97)</f>
        <v>156.97</v>
      </c>
      <c r="E198" s="2">
        <f>IFERROR(__xludf.DUMMYFUNCTION("""COMPUTED_VALUE"""),157.16)</f>
        <v>157.16</v>
      </c>
      <c r="F198" s="2">
        <f>IFERROR(__xludf.DUMMYFUNCTION("""COMPUTED_VALUE"""),2818908.0)</f>
        <v>2818908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IFERROR(__xludf.DUMMYFUNCTION("""COMPUTED_VALUE"""),157.9)</f>
        <v>157.9</v>
      </c>
      <c r="C199" s="2">
        <f>IFERROR(__xludf.DUMMYFUNCTION("""COMPUTED_VALUE"""),163.13)</f>
        <v>163.13</v>
      </c>
      <c r="D199" s="2">
        <f>IFERROR(__xludf.DUMMYFUNCTION("""COMPUTED_VALUE"""),156.91)</f>
        <v>156.91</v>
      </c>
      <c r="E199" s="2">
        <f>IFERROR(__xludf.DUMMYFUNCTION("""COMPUTED_VALUE"""),162.13)</f>
        <v>162.13</v>
      </c>
      <c r="F199" s="2">
        <f>IFERROR(__xludf.DUMMYFUNCTION("""COMPUTED_VALUE"""),2777002.0)</f>
        <v>2777002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IFERROR(__xludf.DUMMYFUNCTION("""COMPUTED_VALUE"""),158.98)</f>
        <v>158.98</v>
      </c>
      <c r="C200" s="2">
        <f>IFERROR(__xludf.DUMMYFUNCTION("""COMPUTED_VALUE"""),162.7)</f>
        <v>162.7</v>
      </c>
      <c r="D200" s="2">
        <f>IFERROR(__xludf.DUMMYFUNCTION("""COMPUTED_VALUE"""),158.58)</f>
        <v>158.58</v>
      </c>
      <c r="E200" s="2">
        <f>IFERROR(__xludf.DUMMYFUNCTION("""COMPUTED_VALUE"""),159.39)</f>
        <v>159.39</v>
      </c>
      <c r="F200" s="2">
        <f>IFERROR(__xludf.DUMMYFUNCTION("""COMPUTED_VALUE"""),3376002.0)</f>
        <v>3376002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IFERROR(__xludf.DUMMYFUNCTION("""COMPUTED_VALUE"""),159.4)</f>
        <v>159.4</v>
      </c>
      <c r="C201" s="2">
        <f>IFERROR(__xludf.DUMMYFUNCTION("""COMPUTED_VALUE"""),160.59)</f>
        <v>160.59</v>
      </c>
      <c r="D201" s="2">
        <f>IFERROR(__xludf.DUMMYFUNCTION("""COMPUTED_VALUE"""),152.34)</f>
        <v>152.34</v>
      </c>
      <c r="E201" s="2">
        <f>IFERROR(__xludf.DUMMYFUNCTION("""COMPUTED_VALUE"""),153.23)</f>
        <v>153.23</v>
      </c>
      <c r="F201" s="2">
        <f>IFERROR(__xludf.DUMMYFUNCTION("""COMPUTED_VALUE"""),3229186.0)</f>
        <v>3229186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IFERROR(__xludf.DUMMYFUNCTION("""COMPUTED_VALUE"""),154.76)</f>
        <v>154.76</v>
      </c>
      <c r="C202" s="2">
        <f>IFERROR(__xludf.DUMMYFUNCTION("""COMPUTED_VALUE"""),158.09)</f>
        <v>158.09</v>
      </c>
      <c r="D202" s="2">
        <f>IFERROR(__xludf.DUMMYFUNCTION("""COMPUTED_VALUE"""),153.12)</f>
        <v>153.12</v>
      </c>
      <c r="E202" s="2">
        <f>IFERROR(__xludf.DUMMYFUNCTION("""COMPUTED_VALUE"""),153.43)</f>
        <v>153.43</v>
      </c>
      <c r="F202" s="2">
        <f>IFERROR(__xludf.DUMMYFUNCTION("""COMPUTED_VALUE"""),2687485.0)</f>
        <v>2687485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IFERROR(__xludf.DUMMYFUNCTION("""COMPUTED_VALUE"""),153.0)</f>
        <v>153</v>
      </c>
      <c r="C203" s="2">
        <f>IFERROR(__xludf.DUMMYFUNCTION("""COMPUTED_VALUE"""),154.09)</f>
        <v>154.09</v>
      </c>
      <c r="D203" s="2">
        <f>IFERROR(__xludf.DUMMYFUNCTION("""COMPUTED_VALUE"""),147.35)</f>
        <v>147.35</v>
      </c>
      <c r="E203" s="2">
        <f>IFERROR(__xludf.DUMMYFUNCTION("""COMPUTED_VALUE"""),147.67)</f>
        <v>147.67</v>
      </c>
      <c r="F203" s="2">
        <f>IFERROR(__xludf.DUMMYFUNCTION("""COMPUTED_VALUE"""),3651742.0)</f>
        <v>3651742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IFERROR(__xludf.DUMMYFUNCTION("""COMPUTED_VALUE"""),145.86)</f>
        <v>145.86</v>
      </c>
      <c r="C204" s="2">
        <f>IFERROR(__xludf.DUMMYFUNCTION("""COMPUTED_VALUE"""),150.83)</f>
        <v>150.83</v>
      </c>
      <c r="D204" s="2">
        <f>IFERROR(__xludf.DUMMYFUNCTION("""COMPUTED_VALUE"""),144.81)</f>
        <v>144.81</v>
      </c>
      <c r="E204" s="2">
        <f>IFERROR(__xludf.DUMMYFUNCTION("""COMPUTED_VALUE"""),148.59)</f>
        <v>148.59</v>
      </c>
      <c r="F204" s="2">
        <f>IFERROR(__xludf.DUMMYFUNCTION("""COMPUTED_VALUE"""),2861430.0)</f>
        <v>2861430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IFERROR(__xludf.DUMMYFUNCTION("""COMPUTED_VALUE"""),149.73)</f>
        <v>149.73</v>
      </c>
      <c r="C205" s="2">
        <f>IFERROR(__xludf.DUMMYFUNCTION("""COMPUTED_VALUE"""),152.62)</f>
        <v>152.62</v>
      </c>
      <c r="D205" s="2">
        <f>IFERROR(__xludf.DUMMYFUNCTION("""COMPUTED_VALUE"""),148.94)</f>
        <v>148.94</v>
      </c>
      <c r="E205" s="2">
        <f>IFERROR(__xludf.DUMMYFUNCTION("""COMPUTED_VALUE"""),151.12)</f>
        <v>151.12</v>
      </c>
      <c r="F205" s="2">
        <f>IFERROR(__xludf.DUMMYFUNCTION("""COMPUTED_VALUE"""),2460125.0)</f>
        <v>2460125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IFERROR(__xludf.DUMMYFUNCTION("""COMPUTED_VALUE"""),150.89)</f>
        <v>150.89</v>
      </c>
      <c r="C206" s="2">
        <f>IFERROR(__xludf.DUMMYFUNCTION("""COMPUTED_VALUE"""),150.96)</f>
        <v>150.96</v>
      </c>
      <c r="D206" s="2">
        <f>IFERROR(__xludf.DUMMYFUNCTION("""COMPUTED_VALUE"""),141.54)</f>
        <v>141.54</v>
      </c>
      <c r="E206" s="2">
        <f>IFERROR(__xludf.DUMMYFUNCTION("""COMPUTED_VALUE"""),142.4)</f>
        <v>142.4</v>
      </c>
      <c r="F206" s="2">
        <f>IFERROR(__xludf.DUMMYFUNCTION("""COMPUTED_VALUE"""),4543594.0)</f>
        <v>4543594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IFERROR(__xludf.DUMMYFUNCTION("""COMPUTED_VALUE"""),142.06)</f>
        <v>142.06</v>
      </c>
      <c r="C207" s="2">
        <f>IFERROR(__xludf.DUMMYFUNCTION("""COMPUTED_VALUE"""),144.06)</f>
        <v>144.06</v>
      </c>
      <c r="D207" s="2">
        <f>IFERROR(__xludf.DUMMYFUNCTION("""COMPUTED_VALUE"""),138.4)</f>
        <v>138.4</v>
      </c>
      <c r="E207" s="2">
        <f>IFERROR(__xludf.DUMMYFUNCTION("""COMPUTED_VALUE"""),140.84)</f>
        <v>140.84</v>
      </c>
      <c r="F207" s="2">
        <f>IFERROR(__xludf.DUMMYFUNCTION("""COMPUTED_VALUE"""),4801111.0)</f>
        <v>4801111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IFERROR(__xludf.DUMMYFUNCTION("""COMPUTED_VALUE"""),144.1)</f>
        <v>144.1</v>
      </c>
      <c r="C208" s="2">
        <f>IFERROR(__xludf.DUMMYFUNCTION("""COMPUTED_VALUE"""),145.39)</f>
        <v>145.39</v>
      </c>
      <c r="D208" s="2">
        <f>IFERROR(__xludf.DUMMYFUNCTION("""COMPUTED_VALUE"""),141.89)</f>
        <v>141.89</v>
      </c>
      <c r="E208" s="2">
        <f>IFERROR(__xludf.DUMMYFUNCTION("""COMPUTED_VALUE"""),143.38)</f>
        <v>143.38</v>
      </c>
      <c r="F208" s="2">
        <f>IFERROR(__xludf.DUMMYFUNCTION("""COMPUTED_VALUE"""),3393761.0)</f>
        <v>3393761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IFERROR(__xludf.DUMMYFUNCTION("""COMPUTED_VALUE"""),144.0)</f>
        <v>144</v>
      </c>
      <c r="C209" s="2">
        <f>IFERROR(__xludf.DUMMYFUNCTION("""COMPUTED_VALUE"""),145.75)</f>
        <v>145.75</v>
      </c>
      <c r="D209" s="2">
        <f>IFERROR(__xludf.DUMMYFUNCTION("""COMPUTED_VALUE"""),142.68)</f>
        <v>142.68</v>
      </c>
      <c r="E209" s="2">
        <f>IFERROR(__xludf.DUMMYFUNCTION("""COMPUTED_VALUE"""),144.16)</f>
        <v>144.16</v>
      </c>
      <c r="F209" s="2">
        <f>IFERROR(__xludf.DUMMYFUNCTION("""COMPUTED_VALUE"""),2089728.0)</f>
        <v>2089728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IFERROR(__xludf.DUMMYFUNCTION("""COMPUTED_VALUE"""),144.79)</f>
        <v>144.79</v>
      </c>
      <c r="C210" s="2">
        <f>IFERROR(__xludf.DUMMYFUNCTION("""COMPUTED_VALUE"""),145.97)</f>
        <v>145.97</v>
      </c>
      <c r="D210" s="2">
        <f>IFERROR(__xludf.DUMMYFUNCTION("""COMPUTED_VALUE"""),141.59)</f>
        <v>141.59</v>
      </c>
      <c r="E210" s="2">
        <f>IFERROR(__xludf.DUMMYFUNCTION("""COMPUTED_VALUE"""),145.13)</f>
        <v>145.13</v>
      </c>
      <c r="F210" s="2">
        <f>IFERROR(__xludf.DUMMYFUNCTION("""COMPUTED_VALUE"""),2860416.0)</f>
        <v>2860416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IFERROR(__xludf.DUMMYFUNCTION("""COMPUTED_VALUE"""),145.3)</f>
        <v>145.3</v>
      </c>
      <c r="C211" s="2">
        <f>IFERROR(__xludf.DUMMYFUNCTION("""COMPUTED_VALUE"""),145.72)</f>
        <v>145.72</v>
      </c>
      <c r="D211" s="2">
        <f>IFERROR(__xludf.DUMMYFUNCTION("""COMPUTED_VALUE"""),142.32)</f>
        <v>142.32</v>
      </c>
      <c r="E211" s="2">
        <f>IFERROR(__xludf.DUMMYFUNCTION("""COMPUTED_VALUE"""),144.26)</f>
        <v>144.26</v>
      </c>
      <c r="F211" s="2">
        <f>IFERROR(__xludf.DUMMYFUNCTION("""COMPUTED_VALUE"""),3688286.0)</f>
        <v>3688286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IFERROR(__xludf.DUMMYFUNCTION("""COMPUTED_VALUE"""),145.22)</f>
        <v>145.22</v>
      </c>
      <c r="C212" s="2">
        <f>IFERROR(__xludf.DUMMYFUNCTION("""COMPUTED_VALUE"""),147.84)</f>
        <v>147.84</v>
      </c>
      <c r="D212" s="2">
        <f>IFERROR(__xludf.DUMMYFUNCTION("""COMPUTED_VALUE"""),140.14)</f>
        <v>140.14</v>
      </c>
      <c r="E212" s="2">
        <f>IFERROR(__xludf.DUMMYFUNCTION("""COMPUTED_VALUE"""),142.75)</f>
        <v>142.75</v>
      </c>
      <c r="F212" s="2">
        <f>IFERROR(__xludf.DUMMYFUNCTION("""COMPUTED_VALUE"""),6822701.0)</f>
        <v>6822701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IFERROR(__xludf.DUMMYFUNCTION("""COMPUTED_VALUE"""),143.0)</f>
        <v>143</v>
      </c>
      <c r="C213" s="2">
        <f>IFERROR(__xludf.DUMMYFUNCTION("""COMPUTED_VALUE"""),150.28)</f>
        <v>150.28</v>
      </c>
      <c r="D213" s="2">
        <f>IFERROR(__xludf.DUMMYFUNCTION("""COMPUTED_VALUE"""),142.72)</f>
        <v>142.72</v>
      </c>
      <c r="E213" s="2">
        <f>IFERROR(__xludf.DUMMYFUNCTION("""COMPUTED_VALUE"""),149.99)</f>
        <v>149.99</v>
      </c>
      <c r="F213" s="2">
        <f>IFERROR(__xludf.DUMMYFUNCTION("""COMPUTED_VALUE"""),5105651.0)</f>
        <v>5105651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IFERROR(__xludf.DUMMYFUNCTION("""COMPUTED_VALUE"""),150.0)</f>
        <v>150</v>
      </c>
      <c r="C214" s="2">
        <f>IFERROR(__xludf.DUMMYFUNCTION("""COMPUTED_VALUE"""),150.45)</f>
        <v>150.45</v>
      </c>
      <c r="D214" s="2">
        <f>IFERROR(__xludf.DUMMYFUNCTION("""COMPUTED_VALUE"""),141.93)</f>
        <v>141.93</v>
      </c>
      <c r="E214" s="2">
        <f>IFERROR(__xludf.DUMMYFUNCTION("""COMPUTED_VALUE"""),144.2)</f>
        <v>144.2</v>
      </c>
      <c r="F214" s="2">
        <f>IFERROR(__xludf.DUMMYFUNCTION("""COMPUTED_VALUE"""),4881540.0)</f>
        <v>4881540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IFERROR(__xludf.DUMMYFUNCTION("""COMPUTED_VALUE"""),155.77)</f>
        <v>155.77</v>
      </c>
      <c r="C215" s="2">
        <f>IFERROR(__xludf.DUMMYFUNCTION("""COMPUTED_VALUE"""),162.5)</f>
        <v>162.5</v>
      </c>
      <c r="D215" s="2">
        <f>IFERROR(__xludf.DUMMYFUNCTION("""COMPUTED_VALUE"""),153.85)</f>
        <v>153.85</v>
      </c>
      <c r="E215" s="2">
        <f>IFERROR(__xludf.DUMMYFUNCTION("""COMPUTED_VALUE"""),159.57)</f>
        <v>159.57</v>
      </c>
      <c r="F215" s="2">
        <f>IFERROR(__xludf.DUMMYFUNCTION("""COMPUTED_VALUE"""),1.2553291E7)</f>
        <v>12553291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IFERROR(__xludf.DUMMYFUNCTION("""COMPUTED_VALUE"""),160.2)</f>
        <v>160.2</v>
      </c>
      <c r="C216" s="2">
        <f>IFERROR(__xludf.DUMMYFUNCTION("""COMPUTED_VALUE"""),161.49)</f>
        <v>161.49</v>
      </c>
      <c r="D216" s="2">
        <f>IFERROR(__xludf.DUMMYFUNCTION("""COMPUTED_VALUE"""),156.01)</f>
        <v>156.01</v>
      </c>
      <c r="E216" s="2">
        <f>IFERROR(__xludf.DUMMYFUNCTION("""COMPUTED_VALUE"""),158.58)</f>
        <v>158.58</v>
      </c>
      <c r="F216" s="2">
        <f>IFERROR(__xludf.DUMMYFUNCTION("""COMPUTED_VALUE"""),4197978.0)</f>
        <v>4197978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IFERROR(__xludf.DUMMYFUNCTION("""COMPUTED_VALUE"""),159.5)</f>
        <v>159.5</v>
      </c>
      <c r="C217" s="2">
        <f>IFERROR(__xludf.DUMMYFUNCTION("""COMPUTED_VALUE"""),162.4)</f>
        <v>162.4</v>
      </c>
      <c r="D217" s="2">
        <f>IFERROR(__xludf.DUMMYFUNCTION("""COMPUTED_VALUE"""),156.11)</f>
        <v>156.11</v>
      </c>
      <c r="E217" s="2">
        <f>IFERROR(__xludf.DUMMYFUNCTION("""COMPUTED_VALUE"""),156.35)</f>
        <v>156.35</v>
      </c>
      <c r="F217" s="2">
        <f>IFERROR(__xludf.DUMMYFUNCTION("""COMPUTED_VALUE"""),3982258.0)</f>
        <v>3982258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IFERROR(__xludf.DUMMYFUNCTION("""COMPUTED_VALUE"""),155.85)</f>
        <v>155.85</v>
      </c>
      <c r="C218" s="2">
        <f>IFERROR(__xludf.DUMMYFUNCTION("""COMPUTED_VALUE"""),161.22)</f>
        <v>161.22</v>
      </c>
      <c r="D218" s="2">
        <f>IFERROR(__xludf.DUMMYFUNCTION("""COMPUTED_VALUE"""),153.53)</f>
        <v>153.53</v>
      </c>
      <c r="E218" s="2">
        <f>IFERROR(__xludf.DUMMYFUNCTION("""COMPUTED_VALUE"""),160.4)</f>
        <v>160.4</v>
      </c>
      <c r="F218" s="2">
        <f>IFERROR(__xludf.DUMMYFUNCTION("""COMPUTED_VALUE"""),3982683.0)</f>
        <v>3982683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IFERROR(__xludf.DUMMYFUNCTION("""COMPUTED_VALUE"""),160.04)</f>
        <v>160.04</v>
      </c>
      <c r="C219" s="2">
        <f>IFERROR(__xludf.DUMMYFUNCTION("""COMPUTED_VALUE"""),161.15)</f>
        <v>161.15</v>
      </c>
      <c r="D219" s="2">
        <f>IFERROR(__xludf.DUMMYFUNCTION("""COMPUTED_VALUE"""),157.28)</f>
        <v>157.28</v>
      </c>
      <c r="E219" s="2">
        <f>IFERROR(__xludf.DUMMYFUNCTION("""COMPUTED_VALUE"""),158.7)</f>
        <v>158.7</v>
      </c>
      <c r="F219" s="2">
        <f>IFERROR(__xludf.DUMMYFUNCTION("""COMPUTED_VALUE"""),3286665.0)</f>
        <v>3286665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IFERROR(__xludf.DUMMYFUNCTION("""COMPUTED_VALUE"""),164.5)</f>
        <v>164.5</v>
      </c>
      <c r="C220" s="2">
        <f>IFERROR(__xludf.DUMMYFUNCTION("""COMPUTED_VALUE"""),166.28)</f>
        <v>166.28</v>
      </c>
      <c r="D220" s="2">
        <f>IFERROR(__xludf.DUMMYFUNCTION("""COMPUTED_VALUE"""),163.16)</f>
        <v>163.16</v>
      </c>
      <c r="E220" s="2">
        <f>IFERROR(__xludf.DUMMYFUNCTION("""COMPUTED_VALUE"""),165.86)</f>
        <v>165.86</v>
      </c>
      <c r="F220" s="2">
        <f>IFERROR(__xludf.DUMMYFUNCTION("""COMPUTED_VALUE"""),5141766.0)</f>
        <v>5141766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IFERROR(__xludf.DUMMYFUNCTION("""COMPUTED_VALUE"""),166.57)</f>
        <v>166.57</v>
      </c>
      <c r="C221" s="2">
        <f>IFERROR(__xludf.DUMMYFUNCTION("""COMPUTED_VALUE"""),169.19)</f>
        <v>169.19</v>
      </c>
      <c r="D221" s="2">
        <f>IFERROR(__xludf.DUMMYFUNCTION("""COMPUTED_VALUE"""),162.84)</f>
        <v>162.84</v>
      </c>
      <c r="E221" s="2">
        <f>IFERROR(__xludf.DUMMYFUNCTION("""COMPUTED_VALUE"""),163.03)</f>
        <v>163.03</v>
      </c>
      <c r="F221" s="2">
        <f>IFERROR(__xludf.DUMMYFUNCTION("""COMPUTED_VALUE"""),4150023.0)</f>
        <v>4150023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IFERROR(__xludf.DUMMYFUNCTION("""COMPUTED_VALUE"""),162.94)</f>
        <v>162.94</v>
      </c>
      <c r="C222" s="2">
        <f>IFERROR(__xludf.DUMMYFUNCTION("""COMPUTED_VALUE"""),163.0)</f>
        <v>163</v>
      </c>
      <c r="D222" s="2">
        <f>IFERROR(__xludf.DUMMYFUNCTION("""COMPUTED_VALUE"""),159.51)</f>
        <v>159.51</v>
      </c>
      <c r="E222" s="2">
        <f>IFERROR(__xludf.DUMMYFUNCTION("""COMPUTED_VALUE"""),160.97)</f>
        <v>160.97</v>
      </c>
      <c r="F222" s="2">
        <f>IFERROR(__xludf.DUMMYFUNCTION("""COMPUTED_VALUE"""),3358519.0)</f>
        <v>3358519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IFERROR(__xludf.DUMMYFUNCTION("""COMPUTED_VALUE"""),160.71)</f>
        <v>160.71</v>
      </c>
      <c r="C223" s="2">
        <f>IFERROR(__xludf.DUMMYFUNCTION("""COMPUTED_VALUE"""),162.73)</f>
        <v>162.73</v>
      </c>
      <c r="D223" s="2">
        <f>IFERROR(__xludf.DUMMYFUNCTION("""COMPUTED_VALUE"""),160.33)</f>
        <v>160.33</v>
      </c>
      <c r="E223" s="2">
        <f>IFERROR(__xludf.DUMMYFUNCTION("""COMPUTED_VALUE"""),161.85)</f>
        <v>161.85</v>
      </c>
      <c r="F223" s="2">
        <f>IFERROR(__xludf.DUMMYFUNCTION("""COMPUTED_VALUE"""),1896456.0)</f>
        <v>1896456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IFERROR(__xludf.DUMMYFUNCTION("""COMPUTED_VALUE"""),162.0)</f>
        <v>162</v>
      </c>
      <c r="C224" s="2">
        <f>IFERROR(__xludf.DUMMYFUNCTION("""COMPUTED_VALUE"""),168.82)</f>
        <v>168.82</v>
      </c>
      <c r="D224" s="2">
        <f>IFERROR(__xludf.DUMMYFUNCTION("""COMPUTED_VALUE"""),162.0)</f>
        <v>162</v>
      </c>
      <c r="E224" s="2">
        <f>IFERROR(__xludf.DUMMYFUNCTION("""COMPUTED_VALUE"""),166.73)</f>
        <v>166.73</v>
      </c>
      <c r="F224" s="2">
        <f>IFERROR(__xludf.DUMMYFUNCTION("""COMPUTED_VALUE"""),3755270.0)</f>
        <v>3755270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IFERROR(__xludf.DUMMYFUNCTION("""COMPUTED_VALUE"""),164.93)</f>
        <v>164.93</v>
      </c>
      <c r="C225" s="2">
        <f>IFERROR(__xludf.DUMMYFUNCTION("""COMPUTED_VALUE"""),168.11)</f>
        <v>168.11</v>
      </c>
      <c r="D225" s="2">
        <f>IFERROR(__xludf.DUMMYFUNCTION("""COMPUTED_VALUE"""),164.29)</f>
        <v>164.29</v>
      </c>
      <c r="E225" s="2">
        <f>IFERROR(__xludf.DUMMYFUNCTION("""COMPUTED_VALUE"""),166.67)</f>
        <v>166.67</v>
      </c>
      <c r="F225" s="2">
        <f>IFERROR(__xludf.DUMMYFUNCTION("""COMPUTED_VALUE"""),2834590.0)</f>
        <v>2834590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IFERROR(__xludf.DUMMYFUNCTION("""COMPUTED_VALUE"""),168.9)</f>
        <v>168.9</v>
      </c>
      <c r="C226" s="2">
        <f>IFERROR(__xludf.DUMMYFUNCTION("""COMPUTED_VALUE"""),171.22)</f>
        <v>171.22</v>
      </c>
      <c r="D226" s="2">
        <f>IFERROR(__xludf.DUMMYFUNCTION("""COMPUTED_VALUE"""),167.3)</f>
        <v>167.3</v>
      </c>
      <c r="E226" s="2">
        <f>IFERROR(__xludf.DUMMYFUNCTION("""COMPUTED_VALUE"""),168.92)</f>
        <v>168.92</v>
      </c>
      <c r="F226" s="2">
        <f>IFERROR(__xludf.DUMMYFUNCTION("""COMPUTED_VALUE"""),3015395.0)</f>
        <v>3015395</v>
      </c>
    </row>
    <row r="227">
      <c r="A227" s="3">
        <f>IFERROR(__xludf.DUMMYFUNCTION("""COMPUTED_VALUE"""),45254.54166666667)</f>
        <v>45254.54167</v>
      </c>
      <c r="B227" s="2">
        <f>IFERROR(__xludf.DUMMYFUNCTION("""COMPUTED_VALUE"""),168.04)</f>
        <v>168.04</v>
      </c>
      <c r="C227" s="2">
        <f>IFERROR(__xludf.DUMMYFUNCTION("""COMPUTED_VALUE"""),171.48)</f>
        <v>171.48</v>
      </c>
      <c r="D227" s="2">
        <f>IFERROR(__xludf.DUMMYFUNCTION("""COMPUTED_VALUE"""),167.49)</f>
        <v>167.49</v>
      </c>
      <c r="E227" s="2">
        <f>IFERROR(__xludf.DUMMYFUNCTION("""COMPUTED_VALUE"""),171.16)</f>
        <v>171.16</v>
      </c>
      <c r="F227" s="2">
        <f>IFERROR(__xludf.DUMMYFUNCTION("""COMPUTED_VALUE"""),1738385.0)</f>
        <v>1738385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IFERROR(__xludf.DUMMYFUNCTION("""COMPUTED_VALUE"""),171.0)</f>
        <v>171</v>
      </c>
      <c r="C228" s="2">
        <f>IFERROR(__xludf.DUMMYFUNCTION("""COMPUTED_VALUE"""),172.68)</f>
        <v>172.68</v>
      </c>
      <c r="D228" s="2">
        <f>IFERROR(__xludf.DUMMYFUNCTION("""COMPUTED_VALUE"""),170.05)</f>
        <v>170.05</v>
      </c>
      <c r="E228" s="2">
        <f>IFERROR(__xludf.DUMMYFUNCTION("""COMPUTED_VALUE"""),170.3)</f>
        <v>170.3</v>
      </c>
      <c r="F228" s="2">
        <f>IFERROR(__xludf.DUMMYFUNCTION("""COMPUTED_VALUE"""),4214149.0)</f>
        <v>4214149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IFERROR(__xludf.DUMMYFUNCTION("""COMPUTED_VALUE"""),170.0)</f>
        <v>170</v>
      </c>
      <c r="C229" s="2">
        <f>IFERROR(__xludf.DUMMYFUNCTION("""COMPUTED_VALUE"""),172.18)</f>
        <v>172.18</v>
      </c>
      <c r="D229" s="2">
        <f>IFERROR(__xludf.DUMMYFUNCTION("""COMPUTED_VALUE"""),167.91)</f>
        <v>167.91</v>
      </c>
      <c r="E229" s="2">
        <f>IFERROR(__xludf.DUMMYFUNCTION("""COMPUTED_VALUE"""),171.55)</f>
        <v>171.55</v>
      </c>
      <c r="F229" s="2">
        <f>IFERROR(__xludf.DUMMYFUNCTION("""COMPUTED_VALUE"""),3829799.0)</f>
        <v>3829799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IFERROR(__xludf.DUMMYFUNCTION("""COMPUTED_VALUE"""),175.02)</f>
        <v>175.02</v>
      </c>
      <c r="C230" s="2">
        <f>IFERROR(__xludf.DUMMYFUNCTION("""COMPUTED_VALUE"""),177.6)</f>
        <v>177.6</v>
      </c>
      <c r="D230" s="2">
        <f>IFERROR(__xludf.DUMMYFUNCTION("""COMPUTED_VALUE"""),174.35)</f>
        <v>174.35</v>
      </c>
      <c r="E230" s="2">
        <f>IFERROR(__xludf.DUMMYFUNCTION("""COMPUTED_VALUE"""),175.32)</f>
        <v>175.32</v>
      </c>
      <c r="F230" s="2">
        <f>IFERROR(__xludf.DUMMYFUNCTION("""COMPUTED_VALUE"""),1.0298419E7)</f>
        <v>10298419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IFERROR(__xludf.DUMMYFUNCTION("""COMPUTED_VALUE"""),188.0)</f>
        <v>188</v>
      </c>
      <c r="C231" s="2">
        <f>IFERROR(__xludf.DUMMYFUNCTION("""COMPUTED_VALUE"""),192.66)</f>
        <v>192.66</v>
      </c>
      <c r="D231" s="2">
        <f>IFERROR(__xludf.DUMMYFUNCTION("""COMPUTED_VALUE"""),180.27)</f>
        <v>180.27</v>
      </c>
      <c r="E231" s="2">
        <f>IFERROR(__xludf.DUMMYFUNCTION("""COMPUTED_VALUE"""),187.68)</f>
        <v>187.68</v>
      </c>
      <c r="F231" s="2">
        <f>IFERROR(__xludf.DUMMYFUNCTION("""COMPUTED_VALUE"""),2.2593509E7)</f>
        <v>22593509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IFERROR(__xludf.DUMMYFUNCTION("""COMPUTED_VALUE"""),185.25)</f>
        <v>185.25</v>
      </c>
      <c r="C232" s="2">
        <f>IFERROR(__xludf.DUMMYFUNCTION("""COMPUTED_VALUE"""),188.56)</f>
        <v>188.56</v>
      </c>
      <c r="D232" s="2">
        <f>IFERROR(__xludf.DUMMYFUNCTION("""COMPUTED_VALUE"""),180.8)</f>
        <v>180.8</v>
      </c>
      <c r="E232" s="2">
        <f>IFERROR(__xludf.DUMMYFUNCTION("""COMPUTED_VALUE"""),185.97)</f>
        <v>185.97</v>
      </c>
      <c r="F232" s="2">
        <f>IFERROR(__xludf.DUMMYFUNCTION("""COMPUTED_VALUE"""),1.0315162E7)</f>
        <v>10315162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IFERROR(__xludf.DUMMYFUNCTION("""COMPUTED_VALUE"""),184.81)</f>
        <v>184.81</v>
      </c>
      <c r="C233" s="2">
        <f>IFERROR(__xludf.DUMMYFUNCTION("""COMPUTED_VALUE"""),191.0)</f>
        <v>191</v>
      </c>
      <c r="D233" s="2">
        <f>IFERROR(__xludf.DUMMYFUNCTION("""COMPUTED_VALUE"""),183.61)</f>
        <v>183.61</v>
      </c>
      <c r="E233" s="2">
        <f>IFERROR(__xludf.DUMMYFUNCTION("""COMPUTED_VALUE"""),188.3)</f>
        <v>188.3</v>
      </c>
      <c r="F233" s="2">
        <f>IFERROR(__xludf.DUMMYFUNCTION("""COMPUTED_VALUE"""),8530965.0)</f>
        <v>8530965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IFERROR(__xludf.DUMMYFUNCTION("""COMPUTED_VALUE"""),186.53)</f>
        <v>186.53</v>
      </c>
      <c r="C234" s="2">
        <f>IFERROR(__xludf.DUMMYFUNCTION("""COMPUTED_VALUE"""),188.52)</f>
        <v>188.52</v>
      </c>
      <c r="D234" s="2">
        <f>IFERROR(__xludf.DUMMYFUNCTION("""COMPUTED_VALUE"""),184.08)</f>
        <v>184.08</v>
      </c>
      <c r="E234" s="2">
        <f>IFERROR(__xludf.DUMMYFUNCTION("""COMPUTED_VALUE"""),186.16)</f>
        <v>186.16</v>
      </c>
      <c r="F234" s="2">
        <f>IFERROR(__xludf.DUMMYFUNCTION("""COMPUTED_VALUE"""),4060490.0)</f>
        <v>4060490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IFERROR(__xludf.DUMMYFUNCTION("""COMPUTED_VALUE"""),187.41)</f>
        <v>187.41</v>
      </c>
      <c r="C235" s="2">
        <f>IFERROR(__xludf.DUMMYFUNCTION("""COMPUTED_VALUE"""),190.62)</f>
        <v>190.62</v>
      </c>
      <c r="D235" s="2">
        <f>IFERROR(__xludf.DUMMYFUNCTION("""COMPUTED_VALUE"""),184.4)</f>
        <v>184.4</v>
      </c>
      <c r="E235" s="2">
        <f>IFERROR(__xludf.DUMMYFUNCTION("""COMPUTED_VALUE"""),184.47)</f>
        <v>184.47</v>
      </c>
      <c r="F235" s="2">
        <f>IFERROR(__xludf.DUMMYFUNCTION("""COMPUTED_VALUE"""),5358674.0)</f>
        <v>5358674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IFERROR(__xludf.DUMMYFUNCTION("""COMPUTED_VALUE"""),184.61)</f>
        <v>184.61</v>
      </c>
      <c r="C236" s="2">
        <f>IFERROR(__xludf.DUMMYFUNCTION("""COMPUTED_VALUE"""),188.78)</f>
        <v>188.78</v>
      </c>
      <c r="D236" s="2">
        <f>IFERROR(__xludf.DUMMYFUNCTION("""COMPUTED_VALUE"""),183.03)</f>
        <v>183.03</v>
      </c>
      <c r="E236" s="2">
        <f>IFERROR(__xludf.DUMMYFUNCTION("""COMPUTED_VALUE"""),187.31)</f>
        <v>187.31</v>
      </c>
      <c r="F236" s="2">
        <f>IFERROR(__xludf.DUMMYFUNCTION("""COMPUTED_VALUE"""),4824379.0)</f>
        <v>4824379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IFERROR(__xludf.DUMMYFUNCTION("""COMPUTED_VALUE"""),187.0)</f>
        <v>187</v>
      </c>
      <c r="C237" s="2">
        <f>IFERROR(__xludf.DUMMYFUNCTION("""COMPUTED_VALUE"""),191.64)</f>
        <v>191.64</v>
      </c>
      <c r="D237" s="2">
        <f>IFERROR(__xludf.DUMMYFUNCTION("""COMPUTED_VALUE"""),185.8)</f>
        <v>185.8</v>
      </c>
      <c r="E237" s="2">
        <f>IFERROR(__xludf.DUMMYFUNCTION("""COMPUTED_VALUE"""),190.67)</f>
        <v>190.67</v>
      </c>
      <c r="F237" s="2">
        <f>IFERROR(__xludf.DUMMYFUNCTION("""COMPUTED_VALUE"""),5294921.0)</f>
        <v>5294921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IFERROR(__xludf.DUMMYFUNCTION("""COMPUTED_VALUE"""),188.51)</f>
        <v>188.51</v>
      </c>
      <c r="C238" s="2">
        <f>IFERROR(__xludf.DUMMYFUNCTION("""COMPUTED_VALUE"""),196.66)</f>
        <v>196.66</v>
      </c>
      <c r="D238" s="2">
        <f>IFERROR(__xludf.DUMMYFUNCTION("""COMPUTED_VALUE"""),187.77)</f>
        <v>187.77</v>
      </c>
      <c r="E238" s="2">
        <f>IFERROR(__xludf.DUMMYFUNCTION("""COMPUTED_VALUE"""),192.99)</f>
        <v>192.99</v>
      </c>
      <c r="F238" s="2">
        <f>IFERROR(__xludf.DUMMYFUNCTION("""COMPUTED_VALUE"""),7350847.0)</f>
        <v>7350847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IFERROR(__xludf.DUMMYFUNCTION("""COMPUTED_VALUE"""),190.84)</f>
        <v>190.84</v>
      </c>
      <c r="C239" s="2">
        <f>IFERROR(__xludf.DUMMYFUNCTION("""COMPUTED_VALUE"""),194.21)</f>
        <v>194.21</v>
      </c>
      <c r="D239" s="2">
        <f>IFERROR(__xludf.DUMMYFUNCTION("""COMPUTED_VALUE"""),189.69)</f>
        <v>189.69</v>
      </c>
      <c r="E239" s="2">
        <f>IFERROR(__xludf.DUMMYFUNCTION("""COMPUTED_VALUE"""),193.49)</f>
        <v>193.49</v>
      </c>
      <c r="F239" s="2">
        <f>IFERROR(__xludf.DUMMYFUNCTION("""COMPUTED_VALUE"""),3825737.0)</f>
        <v>3825737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IFERROR(__xludf.DUMMYFUNCTION("""COMPUTED_VALUE"""),195.0)</f>
        <v>195</v>
      </c>
      <c r="C240" s="2">
        <f>IFERROR(__xludf.DUMMYFUNCTION("""COMPUTED_VALUE"""),197.43)</f>
        <v>197.43</v>
      </c>
      <c r="D240" s="2">
        <f>IFERROR(__xludf.DUMMYFUNCTION("""COMPUTED_VALUE"""),191.26)</f>
        <v>191.26</v>
      </c>
      <c r="E240" s="2">
        <f>IFERROR(__xludf.DUMMYFUNCTION("""COMPUTED_VALUE"""),196.55)</f>
        <v>196.55</v>
      </c>
      <c r="F240" s="2">
        <f>IFERROR(__xludf.DUMMYFUNCTION("""COMPUTED_VALUE"""),5331339.0)</f>
        <v>5331339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IFERROR(__xludf.DUMMYFUNCTION("""COMPUTED_VALUE"""),198.57)</f>
        <v>198.57</v>
      </c>
      <c r="C241" s="2">
        <f>IFERROR(__xludf.DUMMYFUNCTION("""COMPUTED_VALUE"""),202.83)</f>
        <v>202.83</v>
      </c>
      <c r="D241" s="2">
        <f>IFERROR(__xludf.DUMMYFUNCTION("""COMPUTED_VALUE"""),196.11)</f>
        <v>196.11</v>
      </c>
      <c r="E241" s="2">
        <f>IFERROR(__xludf.DUMMYFUNCTION("""COMPUTED_VALUE"""),200.86)</f>
        <v>200.86</v>
      </c>
      <c r="F241" s="2">
        <f>IFERROR(__xludf.DUMMYFUNCTION("""COMPUTED_VALUE"""),7937720.0)</f>
        <v>7937720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IFERROR(__xludf.DUMMYFUNCTION("""COMPUTED_VALUE"""),198.0)</f>
        <v>198</v>
      </c>
      <c r="C242" s="2">
        <f>IFERROR(__xludf.DUMMYFUNCTION("""COMPUTED_VALUE"""),200.85)</f>
        <v>200.85</v>
      </c>
      <c r="D242" s="2">
        <f>IFERROR(__xludf.DUMMYFUNCTION("""COMPUTED_VALUE"""),197.1)</f>
        <v>197.1</v>
      </c>
      <c r="E242" s="2">
        <f>IFERROR(__xludf.DUMMYFUNCTION("""COMPUTED_VALUE"""),199.01)</f>
        <v>199.01</v>
      </c>
      <c r="F242" s="2">
        <f>IFERROR(__xludf.DUMMYFUNCTION("""COMPUTED_VALUE"""),6241938.0)</f>
        <v>6241938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IFERROR(__xludf.DUMMYFUNCTION("""COMPUTED_VALUE"""),198.1)</f>
        <v>198.1</v>
      </c>
      <c r="C243" s="2">
        <f>IFERROR(__xludf.DUMMYFUNCTION("""COMPUTED_VALUE"""),200.01)</f>
        <v>200.01</v>
      </c>
      <c r="D243" s="2">
        <f>IFERROR(__xludf.DUMMYFUNCTION("""COMPUTED_VALUE"""),196.55)</f>
        <v>196.55</v>
      </c>
      <c r="E243" s="2">
        <f>IFERROR(__xludf.DUMMYFUNCTION("""COMPUTED_VALUE"""),198.97)</f>
        <v>198.97</v>
      </c>
      <c r="F243" s="2">
        <f>IFERROR(__xludf.DUMMYFUNCTION("""COMPUTED_VALUE"""),3461687.0)</f>
        <v>3461687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IFERROR(__xludf.DUMMYFUNCTION("""COMPUTED_VALUE"""),200.0)</f>
        <v>200</v>
      </c>
      <c r="C244" s="2">
        <f>IFERROR(__xludf.DUMMYFUNCTION("""COMPUTED_VALUE"""),200.87)</f>
        <v>200.87</v>
      </c>
      <c r="D244" s="2">
        <f>IFERROR(__xludf.DUMMYFUNCTION("""COMPUTED_VALUE"""),198.34)</f>
        <v>198.34</v>
      </c>
      <c r="E244" s="2">
        <f>IFERROR(__xludf.DUMMYFUNCTION("""COMPUTED_VALUE"""),199.02)</f>
        <v>199.02</v>
      </c>
      <c r="F244" s="2">
        <f>IFERROR(__xludf.DUMMYFUNCTION("""COMPUTED_VALUE"""),2963399.0)</f>
        <v>2963399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IFERROR(__xludf.DUMMYFUNCTION("""COMPUTED_VALUE"""),198.12)</f>
        <v>198.12</v>
      </c>
      <c r="C245" s="2">
        <f>IFERROR(__xludf.DUMMYFUNCTION("""COMPUTED_VALUE"""),199.74)</f>
        <v>199.74</v>
      </c>
      <c r="D245" s="2">
        <f>IFERROR(__xludf.DUMMYFUNCTION("""COMPUTED_VALUE"""),194.13)</f>
        <v>194.13</v>
      </c>
      <c r="E245" s="2">
        <f>IFERROR(__xludf.DUMMYFUNCTION("""COMPUTED_VALUE"""),194.28)</f>
        <v>194.28</v>
      </c>
      <c r="F245" s="2">
        <f>IFERROR(__xludf.DUMMYFUNCTION("""COMPUTED_VALUE"""),3222933.0)</f>
        <v>3222933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IFERROR(__xludf.DUMMYFUNCTION("""COMPUTED_VALUE"""),195.5)</f>
        <v>195.5</v>
      </c>
      <c r="C246" s="2">
        <f>IFERROR(__xludf.DUMMYFUNCTION("""COMPUTED_VALUE"""),196.95)</f>
        <v>196.95</v>
      </c>
      <c r="D246" s="2">
        <f>IFERROR(__xludf.DUMMYFUNCTION("""COMPUTED_VALUE"""),193.74)</f>
        <v>193.74</v>
      </c>
      <c r="E246" s="2">
        <f>IFERROR(__xludf.DUMMYFUNCTION("""COMPUTED_VALUE"""),196.79)</f>
        <v>196.79</v>
      </c>
      <c r="F246" s="2">
        <f>IFERROR(__xludf.DUMMYFUNCTION("""COMPUTED_VALUE"""),4213726.0)</f>
        <v>4213726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IFERROR(__xludf.DUMMYFUNCTION("""COMPUTED_VALUE"""),197.02)</f>
        <v>197.02</v>
      </c>
      <c r="C247" s="2">
        <f>IFERROR(__xludf.DUMMYFUNCTION("""COMPUTED_VALUE"""),198.02)</f>
        <v>198.02</v>
      </c>
      <c r="D247" s="2">
        <f>IFERROR(__xludf.DUMMYFUNCTION("""COMPUTED_VALUE"""),194.1)</f>
        <v>194.1</v>
      </c>
      <c r="E247" s="2">
        <f>IFERROR(__xludf.DUMMYFUNCTION("""COMPUTED_VALUE"""),195.67)</f>
        <v>195.67</v>
      </c>
      <c r="F247" s="2">
        <f>IFERROR(__xludf.DUMMYFUNCTION("""COMPUTED_VALUE"""),2448826.0)</f>
        <v>2448826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IFERROR(__xludf.DUMMYFUNCTION("""COMPUTED_VALUE"""),195.9)</f>
        <v>195.9</v>
      </c>
      <c r="C248" s="2">
        <f>IFERROR(__xludf.DUMMYFUNCTION("""COMPUTED_VALUE"""),199.32)</f>
        <v>199.32</v>
      </c>
      <c r="D248" s="2">
        <f>IFERROR(__xludf.DUMMYFUNCTION("""COMPUTED_VALUE"""),193.8)</f>
        <v>193.8</v>
      </c>
      <c r="E248" s="2">
        <f>IFERROR(__xludf.DUMMYFUNCTION("""COMPUTED_VALUE"""),198.56)</f>
        <v>198.56</v>
      </c>
      <c r="F248" s="2">
        <f>IFERROR(__xludf.DUMMYFUNCTION("""COMPUTED_VALUE"""),3639359.0)</f>
        <v>3639359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IFERROR(__xludf.DUMMYFUNCTION("""COMPUTED_VALUE"""),200.0)</f>
        <v>200</v>
      </c>
      <c r="C249" s="2">
        <f>IFERROR(__xludf.DUMMYFUNCTION("""COMPUTED_VALUE"""),200.97)</f>
        <v>200.97</v>
      </c>
      <c r="D249" s="2">
        <f>IFERROR(__xludf.DUMMYFUNCTION("""COMPUTED_VALUE"""),197.04)</f>
        <v>197.04</v>
      </c>
      <c r="E249" s="2">
        <f>IFERROR(__xludf.DUMMYFUNCTION("""COMPUTED_VALUE"""),198.71)</f>
        <v>198.71</v>
      </c>
      <c r="F249" s="2">
        <f>IFERROR(__xludf.DUMMYFUNCTION("""COMPUTED_VALUE"""),4957172.0)</f>
        <v>4957172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IFERROR(__xludf.DUMMYFUNCTION("""COMPUTED_VALUE"""),198.78)</f>
        <v>198.78</v>
      </c>
      <c r="C250" s="2">
        <f>IFERROR(__xludf.DUMMYFUNCTION("""COMPUTED_VALUE"""),201.74)</f>
        <v>201.74</v>
      </c>
      <c r="D250" s="2">
        <f>IFERROR(__xludf.DUMMYFUNCTION("""COMPUTED_VALUE"""),197.7)</f>
        <v>197.7</v>
      </c>
      <c r="E250" s="2">
        <f>IFERROR(__xludf.DUMMYFUNCTION("""COMPUTED_VALUE"""),201.23)</f>
        <v>201.23</v>
      </c>
      <c r="F250" s="2">
        <f>IFERROR(__xludf.DUMMYFUNCTION("""COMPUTED_VALUE"""),3823822.0)</f>
        <v>3823822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IFERROR(__xludf.DUMMYFUNCTION("""COMPUTED_VALUE"""),200.0)</f>
        <v>200</v>
      </c>
      <c r="C251" s="2">
        <f>IFERROR(__xludf.DUMMYFUNCTION("""COMPUTED_VALUE"""),201.88)</f>
        <v>201.88</v>
      </c>
      <c r="D251" s="2">
        <f>IFERROR(__xludf.DUMMYFUNCTION("""COMPUTED_VALUE"""),198.34)</f>
        <v>198.34</v>
      </c>
      <c r="E251" s="2">
        <f>IFERROR(__xludf.DUMMYFUNCTION("""COMPUTED_VALUE"""),199.0)</f>
        <v>199</v>
      </c>
      <c r="F251" s="2">
        <f>IFERROR(__xludf.DUMMYFUNCTION("""COMPUTED_VALUE"""),3598227.0)</f>
        <v>3598227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IFERROR(__xludf.DUMMYFUNCTION("""COMPUTED_VALUE"""),195.0)</f>
        <v>195</v>
      </c>
      <c r="C252" s="2">
        <f>IFERROR(__xludf.DUMMYFUNCTION("""COMPUTED_VALUE"""),196.23)</f>
        <v>196.23</v>
      </c>
      <c r="D252" s="2">
        <f>IFERROR(__xludf.DUMMYFUNCTION("""COMPUTED_VALUE"""),187.53)</f>
        <v>187.53</v>
      </c>
      <c r="E252" s="2">
        <f>IFERROR(__xludf.DUMMYFUNCTION("""COMPUTED_VALUE"""),189.12)</f>
        <v>189.12</v>
      </c>
      <c r="F252" s="2">
        <f>IFERROR(__xludf.DUMMYFUNCTION("""COMPUTED_VALUE"""),5173265.0)</f>
        <v>5173265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IFERROR(__xludf.DUMMYFUNCTION("""COMPUTED_VALUE"""),185.0)</f>
        <v>185</v>
      </c>
      <c r="C253" s="2">
        <f>IFERROR(__xludf.DUMMYFUNCTION("""COMPUTED_VALUE"""),187.35)</f>
        <v>187.35</v>
      </c>
      <c r="D253" s="2">
        <f>IFERROR(__xludf.DUMMYFUNCTION("""COMPUTED_VALUE"""),183.01)</f>
        <v>183.01</v>
      </c>
      <c r="E253" s="2">
        <f>IFERROR(__xludf.DUMMYFUNCTION("""COMPUTED_VALUE"""),184.21)</f>
        <v>184.21</v>
      </c>
      <c r="F253" s="2">
        <f>IFERROR(__xludf.DUMMYFUNCTION("""COMPUTED_VALUE"""),4292018.0)</f>
        <v>4292018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IFERROR(__xludf.DUMMYFUNCTION("""COMPUTED_VALUE"""),182.29)</f>
        <v>182.29</v>
      </c>
      <c r="C254" s="2">
        <f>IFERROR(__xludf.DUMMYFUNCTION("""COMPUTED_VALUE"""),187.15)</f>
        <v>187.15</v>
      </c>
      <c r="D254" s="2">
        <f>IFERROR(__xludf.DUMMYFUNCTION("""COMPUTED_VALUE"""),180.95)</f>
        <v>180.95</v>
      </c>
      <c r="E254" s="2">
        <f>IFERROR(__xludf.DUMMYFUNCTION("""COMPUTED_VALUE"""),183.72)</f>
        <v>183.72</v>
      </c>
      <c r="F254" s="2">
        <f>IFERROR(__xludf.DUMMYFUNCTION("""COMPUTED_VALUE"""),4270281.0)</f>
        <v>4270281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IFERROR(__xludf.DUMMYFUNCTION("""COMPUTED_VALUE"""),184.57)</f>
        <v>184.57</v>
      </c>
      <c r="C255" s="2">
        <f>IFERROR(__xludf.DUMMYFUNCTION("""COMPUTED_VALUE"""),191.41)</f>
        <v>191.41</v>
      </c>
      <c r="D255" s="2">
        <f>IFERROR(__xludf.DUMMYFUNCTION("""COMPUTED_VALUE"""),184.57)</f>
        <v>184.57</v>
      </c>
      <c r="E255" s="2">
        <f>IFERROR(__xludf.DUMMYFUNCTION("""COMPUTED_VALUE"""),189.12)</f>
        <v>189.12</v>
      </c>
      <c r="F255" s="2">
        <f>IFERROR(__xludf.DUMMYFUNCTION("""COMPUTED_VALUE"""),5269755.0)</f>
        <v>5269755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IFERROR(__xludf.DUMMYFUNCTION("""COMPUTED_VALUE"""),190.77)</f>
        <v>190.77</v>
      </c>
      <c r="C256" s="2">
        <f>IFERROR(__xludf.DUMMYFUNCTION("""COMPUTED_VALUE"""),196.9)</f>
        <v>196.9</v>
      </c>
      <c r="D256" s="2">
        <f>IFERROR(__xludf.DUMMYFUNCTION("""COMPUTED_VALUE"""),190.77)</f>
        <v>190.77</v>
      </c>
      <c r="E256" s="2">
        <f>IFERROR(__xludf.DUMMYFUNCTION("""COMPUTED_VALUE"""),196.35)</f>
        <v>196.35</v>
      </c>
      <c r="F256" s="2">
        <f>IFERROR(__xludf.DUMMYFUNCTION("""COMPUTED_VALUE"""),4562048.0)</f>
        <v>4562048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IFERROR(__xludf.DUMMYFUNCTION("""COMPUTED_VALUE"""),195.65)</f>
        <v>195.65</v>
      </c>
      <c r="C257" s="2">
        <f>IFERROR(__xludf.DUMMYFUNCTION("""COMPUTED_VALUE"""),198.27)</f>
        <v>198.27</v>
      </c>
      <c r="D257" s="2">
        <f>IFERROR(__xludf.DUMMYFUNCTION("""COMPUTED_VALUE"""),194.75)</f>
        <v>194.75</v>
      </c>
      <c r="E257" s="2">
        <f>IFERROR(__xludf.DUMMYFUNCTION("""COMPUTED_VALUE"""),196.9)</f>
        <v>196.9</v>
      </c>
      <c r="F257" s="2">
        <f>IFERROR(__xludf.DUMMYFUNCTION("""COMPUTED_VALUE"""),3153581.0)</f>
        <v>3153581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IFERROR(__xludf.DUMMYFUNCTION("""COMPUTED_VALUE"""),197.28)</f>
        <v>197.28</v>
      </c>
      <c r="C258" s="2">
        <f>IFERROR(__xludf.DUMMYFUNCTION("""COMPUTED_VALUE"""),200.54)</f>
        <v>200.54</v>
      </c>
      <c r="D258" s="2">
        <f>IFERROR(__xludf.DUMMYFUNCTION("""COMPUTED_VALUE"""),194.65)</f>
        <v>194.65</v>
      </c>
      <c r="E258" s="2">
        <f>IFERROR(__xludf.DUMMYFUNCTION("""COMPUTED_VALUE"""),197.4)</f>
        <v>197.4</v>
      </c>
      <c r="F258" s="2">
        <f>IFERROR(__xludf.DUMMYFUNCTION("""COMPUTED_VALUE"""),4179593.0)</f>
        <v>4179593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IFERROR(__xludf.DUMMYFUNCTION("""COMPUTED_VALUE"""),199.2)</f>
        <v>199.2</v>
      </c>
      <c r="C259" s="2">
        <f>IFERROR(__xludf.DUMMYFUNCTION("""COMPUTED_VALUE"""),201.6)</f>
        <v>201.6</v>
      </c>
      <c r="D259" s="2">
        <f>IFERROR(__xludf.DUMMYFUNCTION("""COMPUTED_VALUE"""),195.53)</f>
        <v>195.53</v>
      </c>
      <c r="E259" s="2">
        <f>IFERROR(__xludf.DUMMYFUNCTION("""COMPUTED_VALUE"""),195.62)</f>
        <v>195.62</v>
      </c>
      <c r="F259" s="2">
        <f>IFERROR(__xludf.DUMMYFUNCTION("""COMPUTED_VALUE"""),5012565.0)</f>
        <v>5012565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IFERROR(__xludf.DUMMYFUNCTION("""COMPUTED_VALUE"""),190.0)</f>
        <v>190</v>
      </c>
      <c r="C260" s="2">
        <f>IFERROR(__xludf.DUMMYFUNCTION("""COMPUTED_VALUE"""),196.08)</f>
        <v>196.08</v>
      </c>
      <c r="D260" s="2">
        <f>IFERROR(__xludf.DUMMYFUNCTION("""COMPUTED_VALUE"""),189.22)</f>
        <v>189.22</v>
      </c>
      <c r="E260" s="2">
        <f>IFERROR(__xludf.DUMMYFUNCTION("""COMPUTED_VALUE"""),191.26)</f>
        <v>191.26</v>
      </c>
      <c r="F260" s="2">
        <f>IFERROR(__xludf.DUMMYFUNCTION("""COMPUTED_VALUE"""),4982352.0)</f>
        <v>4982352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IFERROR(__xludf.DUMMYFUNCTION("""COMPUTED_VALUE"""),190.0)</f>
        <v>190</v>
      </c>
      <c r="C261" s="2">
        <f>IFERROR(__xludf.DUMMYFUNCTION("""COMPUTED_VALUE"""),191.21)</f>
        <v>191.21</v>
      </c>
      <c r="D261" s="2">
        <f>IFERROR(__xludf.DUMMYFUNCTION("""COMPUTED_VALUE"""),186.57)</f>
        <v>186.57</v>
      </c>
      <c r="E261" s="2">
        <f>IFERROR(__xludf.DUMMYFUNCTION("""COMPUTED_VALUE"""),188.02)</f>
        <v>188.02</v>
      </c>
      <c r="F261" s="2">
        <f>IFERROR(__xludf.DUMMYFUNCTION("""COMPUTED_VALUE"""),4833391.0)</f>
        <v>4833391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IFERROR(__xludf.DUMMYFUNCTION("""COMPUTED_VALUE"""),185.77)</f>
        <v>185.77</v>
      </c>
      <c r="C262" s="2">
        <f>IFERROR(__xludf.DUMMYFUNCTION("""COMPUTED_VALUE"""),188.14)</f>
        <v>188.14</v>
      </c>
      <c r="D262" s="2">
        <f>IFERROR(__xludf.DUMMYFUNCTION("""COMPUTED_VALUE"""),182.53)</f>
        <v>182.53</v>
      </c>
      <c r="E262" s="2">
        <f>IFERROR(__xludf.DUMMYFUNCTION("""COMPUTED_VALUE"""),188.12)</f>
        <v>188.12</v>
      </c>
      <c r="F262" s="2">
        <f>IFERROR(__xludf.DUMMYFUNCTION("""COMPUTED_VALUE"""),3756668.0)</f>
        <v>3756668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IFERROR(__xludf.DUMMYFUNCTION("""COMPUTED_VALUE"""),190.77)</f>
        <v>190.77</v>
      </c>
      <c r="C263" s="2">
        <f>IFERROR(__xludf.DUMMYFUNCTION("""COMPUTED_VALUE"""),191.54)</f>
        <v>191.54</v>
      </c>
      <c r="D263" s="2">
        <f>IFERROR(__xludf.DUMMYFUNCTION("""COMPUTED_VALUE"""),184.39)</f>
        <v>184.39</v>
      </c>
      <c r="E263" s="2">
        <f>IFERROR(__xludf.DUMMYFUNCTION("""COMPUTED_VALUE"""),186.61)</f>
        <v>186.61</v>
      </c>
      <c r="F263" s="2">
        <f>IFERROR(__xludf.DUMMYFUNCTION("""COMPUTED_VALUE"""),4989985.0)</f>
        <v>4989985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IFERROR(__xludf.DUMMYFUNCTION("""COMPUTED_VALUE"""),187.59)</f>
        <v>187.59</v>
      </c>
      <c r="C264" s="2">
        <f>IFERROR(__xludf.DUMMYFUNCTION("""COMPUTED_VALUE"""),193.14)</f>
        <v>193.14</v>
      </c>
      <c r="D264" s="2">
        <f>IFERROR(__xludf.DUMMYFUNCTION("""COMPUTED_VALUE"""),186.72)</f>
        <v>186.72</v>
      </c>
      <c r="E264" s="2">
        <f>IFERROR(__xludf.DUMMYFUNCTION("""COMPUTED_VALUE"""),193.12)</f>
        <v>193.12</v>
      </c>
      <c r="F264" s="2">
        <f>IFERROR(__xludf.DUMMYFUNCTION("""COMPUTED_VALUE"""),4523267.0)</f>
        <v>4523267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IFERROR(__xludf.DUMMYFUNCTION("""COMPUTED_VALUE"""),196.75)</f>
        <v>196.75</v>
      </c>
      <c r="C265" s="2">
        <f>IFERROR(__xludf.DUMMYFUNCTION("""COMPUTED_VALUE"""),202.32)</f>
        <v>202.32</v>
      </c>
      <c r="D265" s="2">
        <f>IFERROR(__xludf.DUMMYFUNCTION("""COMPUTED_VALUE"""),196.51)</f>
        <v>196.51</v>
      </c>
      <c r="E265" s="2">
        <f>IFERROR(__xludf.DUMMYFUNCTION("""COMPUTED_VALUE"""),199.08)</f>
        <v>199.08</v>
      </c>
      <c r="F265" s="2">
        <f>IFERROR(__xludf.DUMMYFUNCTION("""COMPUTED_VALUE"""),6471888.0)</f>
        <v>6471888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IFERROR(__xludf.DUMMYFUNCTION("""COMPUTED_VALUE"""),200.0)</f>
        <v>200</v>
      </c>
      <c r="C266" s="2">
        <f>IFERROR(__xludf.DUMMYFUNCTION("""COMPUTED_VALUE"""),205.97)</f>
        <v>205.97</v>
      </c>
      <c r="D266" s="2">
        <f>IFERROR(__xludf.DUMMYFUNCTION("""COMPUTED_VALUE"""),197.59)</f>
        <v>197.59</v>
      </c>
      <c r="E266" s="2">
        <f>IFERROR(__xludf.DUMMYFUNCTION("""COMPUTED_VALUE"""),205.58)</f>
        <v>205.58</v>
      </c>
      <c r="F266" s="2">
        <f>IFERROR(__xludf.DUMMYFUNCTION("""COMPUTED_VALUE"""),8763276.0)</f>
        <v>8763276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IFERROR(__xludf.DUMMYFUNCTION("""COMPUTED_VALUE"""),209.18)</f>
        <v>209.18</v>
      </c>
      <c r="C267" s="2">
        <f>IFERROR(__xludf.DUMMYFUNCTION("""COMPUTED_VALUE"""),211.65)</f>
        <v>211.65</v>
      </c>
      <c r="D267" s="2">
        <f>IFERROR(__xludf.DUMMYFUNCTION("""COMPUTED_VALUE"""),203.49)</f>
        <v>203.49</v>
      </c>
      <c r="E267" s="2">
        <f>IFERROR(__xludf.DUMMYFUNCTION("""COMPUTED_VALUE"""),203.81)</f>
        <v>203.81</v>
      </c>
      <c r="F267" s="2">
        <f>IFERROR(__xludf.DUMMYFUNCTION("""COMPUTED_VALUE"""),8127759.0)</f>
        <v>8127759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IFERROR(__xludf.DUMMYFUNCTION("""COMPUTED_VALUE"""),205.36)</f>
        <v>205.36</v>
      </c>
      <c r="C268" s="2">
        <f>IFERROR(__xludf.DUMMYFUNCTION("""COMPUTED_VALUE"""),209.47)</f>
        <v>209.47</v>
      </c>
      <c r="D268" s="2">
        <f>IFERROR(__xludf.DUMMYFUNCTION("""COMPUTED_VALUE"""),202.75)</f>
        <v>202.75</v>
      </c>
      <c r="E268" s="2">
        <f>IFERROR(__xludf.DUMMYFUNCTION("""COMPUTED_VALUE"""),206.01)</f>
        <v>206.01</v>
      </c>
      <c r="F268" s="2">
        <f>IFERROR(__xludf.DUMMYFUNCTION("""COMPUTED_VALUE"""),4804154.0)</f>
        <v>4804154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IFERROR(__xludf.DUMMYFUNCTION("""COMPUTED_VALUE"""),203.75)</f>
        <v>203.75</v>
      </c>
      <c r="C269" s="2">
        <f>IFERROR(__xludf.DUMMYFUNCTION("""COMPUTED_VALUE"""),205.49)</f>
        <v>205.49</v>
      </c>
      <c r="D269" s="2">
        <f>IFERROR(__xludf.DUMMYFUNCTION("""COMPUTED_VALUE"""),201.2)</f>
        <v>201.2</v>
      </c>
      <c r="E269" s="2">
        <f>IFERROR(__xludf.DUMMYFUNCTION("""COMPUTED_VALUE"""),202.51)</f>
        <v>202.51</v>
      </c>
      <c r="F269" s="2">
        <f>IFERROR(__xludf.DUMMYFUNCTION("""COMPUTED_VALUE"""),3799060.0)</f>
        <v>3799060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IFERROR(__xludf.DUMMYFUNCTION("""COMPUTED_VALUE"""),201.91)</f>
        <v>201.91</v>
      </c>
      <c r="C270" s="2">
        <f>IFERROR(__xludf.DUMMYFUNCTION("""COMPUTED_VALUE"""),210.26)</f>
        <v>210.26</v>
      </c>
      <c r="D270" s="2">
        <f>IFERROR(__xludf.DUMMYFUNCTION("""COMPUTED_VALUE"""),201.4)</f>
        <v>201.4</v>
      </c>
      <c r="E270" s="2">
        <f>IFERROR(__xludf.DUMMYFUNCTION("""COMPUTED_VALUE"""),209.54)</f>
        <v>209.54</v>
      </c>
      <c r="F270" s="2">
        <f>IFERROR(__xludf.DUMMYFUNCTION("""COMPUTED_VALUE"""),5288749.0)</f>
        <v>5288749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IFERROR(__xludf.DUMMYFUNCTION("""COMPUTED_VALUE"""),208.64)</f>
        <v>208.64</v>
      </c>
      <c r="C271" s="2">
        <f>IFERROR(__xludf.DUMMYFUNCTION("""COMPUTED_VALUE"""),209.98)</f>
        <v>209.98</v>
      </c>
      <c r="D271" s="2">
        <f>IFERROR(__xludf.DUMMYFUNCTION("""COMPUTED_VALUE"""),204.81)</f>
        <v>204.81</v>
      </c>
      <c r="E271" s="2">
        <f>IFERROR(__xludf.DUMMYFUNCTION("""COMPUTED_VALUE"""),206.25)</f>
        <v>206.25</v>
      </c>
      <c r="F271" s="2">
        <f>IFERROR(__xludf.DUMMYFUNCTION("""COMPUTED_VALUE"""),4415381.0)</f>
        <v>4415381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IFERROR(__xludf.DUMMYFUNCTION("""COMPUTED_VALUE"""),201.5)</f>
        <v>201.5</v>
      </c>
      <c r="C272" s="2">
        <f>IFERROR(__xludf.DUMMYFUNCTION("""COMPUTED_VALUE"""),203.29)</f>
        <v>203.29</v>
      </c>
      <c r="D272" s="2">
        <f>IFERROR(__xludf.DUMMYFUNCTION("""COMPUTED_VALUE"""),194.87)</f>
        <v>194.87</v>
      </c>
      <c r="E272" s="2">
        <f>IFERROR(__xludf.DUMMYFUNCTION("""COMPUTED_VALUE"""),195.64)</f>
        <v>195.64</v>
      </c>
      <c r="F272" s="2">
        <f>IFERROR(__xludf.DUMMYFUNCTION("""COMPUTED_VALUE"""),6296755.0)</f>
        <v>6296755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IFERROR(__xludf.DUMMYFUNCTION("""COMPUTED_VALUE"""),197.0)</f>
        <v>197</v>
      </c>
      <c r="C273" s="2">
        <f>IFERROR(__xludf.DUMMYFUNCTION("""COMPUTED_VALUE"""),200.33)</f>
        <v>200.33</v>
      </c>
      <c r="D273" s="2">
        <f>IFERROR(__xludf.DUMMYFUNCTION("""COMPUTED_VALUE"""),195.34)</f>
        <v>195.34</v>
      </c>
      <c r="E273" s="2">
        <f>IFERROR(__xludf.DUMMYFUNCTION("""COMPUTED_VALUE"""),199.94)</f>
        <v>199.94</v>
      </c>
      <c r="F273" s="2">
        <f>IFERROR(__xludf.DUMMYFUNCTION("""COMPUTED_VALUE"""),3260591.0)</f>
        <v>3260591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IFERROR(__xludf.DUMMYFUNCTION("""COMPUTED_VALUE"""),208.64)</f>
        <v>208.64</v>
      </c>
      <c r="C274" s="2">
        <f>IFERROR(__xludf.DUMMYFUNCTION("""COMPUTED_VALUE"""),219.74)</f>
        <v>219.74</v>
      </c>
      <c r="D274" s="2">
        <f>IFERROR(__xludf.DUMMYFUNCTION("""COMPUTED_VALUE"""),204.05)</f>
        <v>204.05</v>
      </c>
      <c r="E274" s="2">
        <f>IFERROR(__xludf.DUMMYFUNCTION("""COMPUTED_VALUE"""),218.76)</f>
        <v>218.76</v>
      </c>
      <c r="F274" s="2">
        <f>IFERROR(__xludf.DUMMYFUNCTION("""COMPUTED_VALUE"""),1.1911518E7)</f>
        <v>11911518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IFERROR(__xludf.DUMMYFUNCTION("""COMPUTED_VALUE"""),217.11)</f>
        <v>217.11</v>
      </c>
      <c r="C275" s="2">
        <f>IFERROR(__xludf.DUMMYFUNCTION("""COMPUTED_VALUE"""),220.67)</f>
        <v>220.67</v>
      </c>
      <c r="D275" s="2">
        <f>IFERROR(__xludf.DUMMYFUNCTION("""COMPUTED_VALUE"""),210.54)</f>
        <v>210.54</v>
      </c>
      <c r="E275" s="2">
        <f>IFERROR(__xludf.DUMMYFUNCTION("""COMPUTED_VALUE"""),215.6)</f>
        <v>215.6</v>
      </c>
      <c r="F275" s="2">
        <f>IFERROR(__xludf.DUMMYFUNCTION("""COMPUTED_VALUE"""),5552565.0)</f>
        <v>5552565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IFERROR(__xludf.DUMMYFUNCTION("""COMPUTED_VALUE"""),217.5)</f>
        <v>217.5</v>
      </c>
      <c r="C276" s="2">
        <f>IFERROR(__xludf.DUMMYFUNCTION("""COMPUTED_VALUE"""),218.5)</f>
        <v>218.5</v>
      </c>
      <c r="D276" s="2">
        <f>IFERROR(__xludf.DUMMYFUNCTION("""COMPUTED_VALUE"""),208.51)</f>
        <v>208.51</v>
      </c>
      <c r="E276" s="2">
        <f>IFERROR(__xludf.DUMMYFUNCTION("""COMPUTED_VALUE"""),213.68)</f>
        <v>213.68</v>
      </c>
      <c r="F276" s="2">
        <f>IFERROR(__xludf.DUMMYFUNCTION("""COMPUTED_VALUE"""),5159941.0)</f>
        <v>5159941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IFERROR(__xludf.DUMMYFUNCTION("""COMPUTED_VALUE"""),214.01)</f>
        <v>214.01</v>
      </c>
      <c r="C277" s="2">
        <f>IFERROR(__xludf.DUMMYFUNCTION("""COMPUTED_VALUE"""),219.4)</f>
        <v>219.4</v>
      </c>
      <c r="D277" s="2">
        <f>IFERROR(__xludf.DUMMYFUNCTION("""COMPUTED_VALUE"""),212.75)</f>
        <v>212.75</v>
      </c>
      <c r="E277" s="2">
        <f>IFERROR(__xludf.DUMMYFUNCTION("""COMPUTED_VALUE"""),218.23)</f>
        <v>218.23</v>
      </c>
      <c r="F277" s="2">
        <f>IFERROR(__xludf.DUMMYFUNCTION("""COMPUTED_VALUE"""),3920972.0)</f>
        <v>3920972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IFERROR(__xludf.DUMMYFUNCTION("""COMPUTED_VALUE"""),219.3)</f>
        <v>219.3</v>
      </c>
      <c r="C278" s="2">
        <f>IFERROR(__xludf.DUMMYFUNCTION("""COMPUTED_VALUE"""),226.29)</f>
        <v>226.29</v>
      </c>
      <c r="D278" s="2">
        <f>IFERROR(__xludf.DUMMYFUNCTION("""COMPUTED_VALUE"""),218.3)</f>
        <v>218.3</v>
      </c>
      <c r="E278" s="2">
        <f>IFERROR(__xludf.DUMMYFUNCTION("""COMPUTED_VALUE"""),222.9)</f>
        <v>222.9</v>
      </c>
      <c r="F278" s="2">
        <f>IFERROR(__xludf.DUMMYFUNCTION("""COMPUTED_VALUE"""),6119851.0)</f>
        <v>6119851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IFERROR(__xludf.DUMMYFUNCTION("""COMPUTED_VALUE"""),228.3)</f>
        <v>228.3</v>
      </c>
      <c r="C279" s="2">
        <f>IFERROR(__xludf.DUMMYFUNCTION("""COMPUTED_VALUE"""),235.0)</f>
        <v>235</v>
      </c>
      <c r="D279" s="2">
        <f>IFERROR(__xludf.DUMMYFUNCTION("""COMPUTED_VALUE"""),228.13)</f>
        <v>228.13</v>
      </c>
      <c r="E279" s="2">
        <f>IFERROR(__xludf.DUMMYFUNCTION("""COMPUTED_VALUE"""),233.28)</f>
        <v>233.28</v>
      </c>
      <c r="F279" s="2">
        <f>IFERROR(__xludf.DUMMYFUNCTION("""COMPUTED_VALUE"""),8263401.0)</f>
        <v>8263401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IFERROR(__xludf.DUMMYFUNCTION("""COMPUTED_VALUE"""),231.0)</f>
        <v>231</v>
      </c>
      <c r="C280" s="2">
        <f>IFERROR(__xludf.DUMMYFUNCTION("""COMPUTED_VALUE"""),237.72)</f>
        <v>237.72</v>
      </c>
      <c r="D280" s="2">
        <f>IFERROR(__xludf.DUMMYFUNCTION("""COMPUTED_VALUE"""),229.07)</f>
        <v>229.07</v>
      </c>
      <c r="E280" s="2">
        <f>IFERROR(__xludf.DUMMYFUNCTION("""COMPUTED_VALUE"""),232.16)</f>
        <v>232.16</v>
      </c>
      <c r="F280" s="2">
        <f>IFERROR(__xludf.DUMMYFUNCTION("""COMPUTED_VALUE"""),5383662.0)</f>
        <v>5383662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IFERROR(__xludf.DUMMYFUNCTION("""COMPUTED_VALUE"""),223.06)</f>
        <v>223.06</v>
      </c>
      <c r="C281" s="2">
        <f>IFERROR(__xludf.DUMMYFUNCTION("""COMPUTED_VALUE"""),231.02)</f>
        <v>231.02</v>
      </c>
      <c r="D281" s="2">
        <f>IFERROR(__xludf.DUMMYFUNCTION("""COMPUTED_VALUE"""),220.5)</f>
        <v>220.5</v>
      </c>
      <c r="E281" s="2">
        <f>IFERROR(__xludf.DUMMYFUNCTION("""COMPUTED_VALUE"""),227.57)</f>
        <v>227.57</v>
      </c>
      <c r="F281" s="2">
        <f>IFERROR(__xludf.DUMMYFUNCTION("""COMPUTED_VALUE"""),4851114.0)</f>
        <v>4851114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IFERROR(__xludf.DUMMYFUNCTION("""COMPUTED_VALUE"""),230.0)</f>
        <v>230</v>
      </c>
      <c r="C282" s="2">
        <f>IFERROR(__xludf.DUMMYFUNCTION("""COMPUTED_VALUE"""),236.24)</f>
        <v>236.24</v>
      </c>
      <c r="D282" s="2">
        <f>IFERROR(__xludf.DUMMYFUNCTION("""COMPUTED_VALUE"""),227.18)</f>
        <v>227.18</v>
      </c>
      <c r="E282" s="2">
        <f>IFERROR(__xludf.DUMMYFUNCTION("""COMPUTED_VALUE"""),236.0)</f>
        <v>236</v>
      </c>
      <c r="F282" s="2">
        <f>IFERROR(__xludf.DUMMYFUNCTION("""COMPUTED_VALUE"""),3741915.0)</f>
        <v>3741915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IFERROR(__xludf.DUMMYFUNCTION("""COMPUTED_VALUE"""),235.0)</f>
        <v>235</v>
      </c>
      <c r="C283" s="2">
        <f>IFERROR(__xludf.DUMMYFUNCTION("""COMPUTED_VALUE"""),236.33)</f>
        <v>236.33</v>
      </c>
      <c r="D283" s="2">
        <f>IFERROR(__xludf.DUMMYFUNCTION("""COMPUTED_VALUE"""),229.1)</f>
        <v>229.1</v>
      </c>
      <c r="E283" s="2">
        <f>IFERROR(__xludf.DUMMYFUNCTION("""COMPUTED_VALUE"""),232.4)</f>
        <v>232.4</v>
      </c>
      <c r="F283" s="2">
        <f>IFERROR(__xludf.DUMMYFUNCTION("""COMPUTED_VALUE"""),3617604.0)</f>
        <v>3617604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IFERROR(__xludf.DUMMYFUNCTION("""COMPUTED_VALUE"""),230.65)</f>
        <v>230.65</v>
      </c>
      <c r="C284" s="2">
        <f>IFERROR(__xludf.DUMMYFUNCTION("""COMPUTED_VALUE"""),234.82)</f>
        <v>234.82</v>
      </c>
      <c r="D284" s="2">
        <f>IFERROR(__xludf.DUMMYFUNCTION("""COMPUTED_VALUE"""),228.6)</f>
        <v>228.6</v>
      </c>
      <c r="E284" s="2">
        <f>IFERROR(__xludf.DUMMYFUNCTION("""COMPUTED_VALUE"""),230.31)</f>
        <v>230.31</v>
      </c>
      <c r="F284" s="2">
        <f>IFERROR(__xludf.DUMMYFUNCTION("""COMPUTED_VALUE"""),3604068.0)</f>
        <v>3604068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IFERROR(__xludf.DUMMYFUNCTION("""COMPUTED_VALUE"""),226.03)</f>
        <v>226.03</v>
      </c>
      <c r="C285" s="2">
        <f>IFERROR(__xludf.DUMMYFUNCTION("""COMPUTED_VALUE"""),226.69)</f>
        <v>226.69</v>
      </c>
      <c r="D285" s="2">
        <f>IFERROR(__xludf.DUMMYFUNCTION("""COMPUTED_VALUE"""),215.59)</f>
        <v>215.59</v>
      </c>
      <c r="E285" s="2">
        <f>IFERROR(__xludf.DUMMYFUNCTION("""COMPUTED_VALUE"""),220.08)</f>
        <v>220.08</v>
      </c>
      <c r="F285" s="2">
        <f>IFERROR(__xludf.DUMMYFUNCTION("""COMPUTED_VALUE"""),6028646.0)</f>
        <v>6028646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IFERROR(__xludf.DUMMYFUNCTION("""COMPUTED_VALUE"""),215.0)</f>
        <v>215</v>
      </c>
      <c r="C286" s="2">
        <f>IFERROR(__xludf.DUMMYFUNCTION("""COMPUTED_VALUE"""),217.2)</f>
        <v>217.2</v>
      </c>
      <c r="D286" s="2">
        <f>IFERROR(__xludf.DUMMYFUNCTION("""COMPUTED_VALUE"""),211.68)</f>
        <v>211.68</v>
      </c>
      <c r="E286" s="2">
        <f>IFERROR(__xludf.DUMMYFUNCTION("""COMPUTED_VALUE"""),216.21)</f>
        <v>216.21</v>
      </c>
      <c r="F286" s="2">
        <f>IFERROR(__xludf.DUMMYFUNCTION("""COMPUTED_VALUE"""),3596578.0)</f>
        <v>3596578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IFERROR(__xludf.DUMMYFUNCTION("""COMPUTED_VALUE"""),224.14)</f>
        <v>224.14</v>
      </c>
      <c r="C287" s="2">
        <f>IFERROR(__xludf.DUMMYFUNCTION("""COMPUTED_VALUE"""),227.68)</f>
        <v>227.68</v>
      </c>
      <c r="D287" s="2">
        <f>IFERROR(__xludf.DUMMYFUNCTION("""COMPUTED_VALUE"""),219.52)</f>
        <v>219.52</v>
      </c>
      <c r="E287" s="2">
        <f>IFERROR(__xludf.DUMMYFUNCTION("""COMPUTED_VALUE"""),225.62)</f>
        <v>225.62</v>
      </c>
      <c r="F287" s="2">
        <f>IFERROR(__xludf.DUMMYFUNCTION("""COMPUTED_VALUE"""),5847729.0)</f>
        <v>5847729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IFERROR(__xludf.DUMMYFUNCTION("""COMPUTED_VALUE"""),234.28)</f>
        <v>234.28</v>
      </c>
      <c r="C288" s="2">
        <f>IFERROR(__xludf.DUMMYFUNCTION("""COMPUTED_VALUE"""),234.83)</f>
        <v>234.83</v>
      </c>
      <c r="D288" s="2">
        <f>IFERROR(__xludf.DUMMYFUNCTION("""COMPUTED_VALUE"""),227.04)</f>
        <v>227.04</v>
      </c>
      <c r="E288" s="2">
        <f>IFERROR(__xludf.DUMMYFUNCTION("""COMPUTED_VALUE"""),229.34)</f>
        <v>229.34</v>
      </c>
      <c r="F288" s="2">
        <f>IFERROR(__xludf.DUMMYFUNCTION("""COMPUTED_VALUE"""),4527953.0)</f>
        <v>4527953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IFERROR(__xludf.DUMMYFUNCTION("""COMPUTED_VALUE"""),229.33)</f>
        <v>229.33</v>
      </c>
      <c r="C289" s="2">
        <f>IFERROR(__xludf.DUMMYFUNCTION("""COMPUTED_VALUE"""),233.36)</f>
        <v>233.36</v>
      </c>
      <c r="D289" s="2">
        <f>IFERROR(__xludf.DUMMYFUNCTION("""COMPUTED_VALUE"""),226.65)</f>
        <v>226.65</v>
      </c>
      <c r="E289" s="2">
        <f>IFERROR(__xludf.DUMMYFUNCTION("""COMPUTED_VALUE"""),230.93)</f>
        <v>230.93</v>
      </c>
      <c r="F289" s="2">
        <f>IFERROR(__xludf.DUMMYFUNCTION("""COMPUTED_VALUE"""),4820595.0)</f>
        <v>4820595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IFERROR(__xludf.DUMMYFUNCTION("""COMPUTED_VALUE"""),233.0)</f>
        <v>233</v>
      </c>
      <c r="C290" s="2">
        <f>IFERROR(__xludf.DUMMYFUNCTION("""COMPUTED_VALUE"""),235.66)</f>
        <v>235.66</v>
      </c>
      <c r="D290" s="2">
        <f>IFERROR(__xludf.DUMMYFUNCTION("""COMPUTED_VALUE"""),231.09)</f>
        <v>231.09</v>
      </c>
      <c r="E290" s="2">
        <f>IFERROR(__xludf.DUMMYFUNCTION("""COMPUTED_VALUE"""),234.03)</f>
        <v>234.03</v>
      </c>
      <c r="F290" s="2">
        <f>IFERROR(__xludf.DUMMYFUNCTION("""COMPUTED_VALUE"""),4810315.0)</f>
        <v>4810315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IFERROR(__xludf.DUMMYFUNCTION("""COMPUTED_VALUE"""),230.75)</f>
        <v>230.75</v>
      </c>
      <c r="C291" s="2">
        <f>IFERROR(__xludf.DUMMYFUNCTION("""COMPUTED_VALUE"""),233.88)</f>
        <v>233.88</v>
      </c>
      <c r="D291" s="2">
        <f>IFERROR(__xludf.DUMMYFUNCTION("""COMPUTED_VALUE"""),226.56)</f>
        <v>226.56</v>
      </c>
      <c r="E291" s="2">
        <f>IFERROR(__xludf.DUMMYFUNCTION("""COMPUTED_VALUE"""),230.0)</f>
        <v>230</v>
      </c>
      <c r="F291" s="2">
        <f>IFERROR(__xludf.DUMMYFUNCTION("""COMPUTED_VALUE"""),1.9406239E7)</f>
        <v>19406239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IFERROR(__xludf.DUMMYFUNCTION("""COMPUTED_VALUE"""),181.17)</f>
        <v>181.17</v>
      </c>
      <c r="C292" s="2">
        <f>IFERROR(__xludf.DUMMYFUNCTION("""COMPUTED_VALUE"""),190.45)</f>
        <v>190.45</v>
      </c>
      <c r="D292" s="2">
        <f>IFERROR(__xludf.DUMMYFUNCTION("""COMPUTED_VALUE"""),180.68)</f>
        <v>180.68</v>
      </c>
      <c r="E292" s="2">
        <f>IFERROR(__xludf.DUMMYFUNCTION("""COMPUTED_VALUE"""),188.28)</f>
        <v>188.28</v>
      </c>
      <c r="F292" s="2">
        <f>IFERROR(__xludf.DUMMYFUNCTION("""COMPUTED_VALUE"""),4.2311351E7)</f>
        <v>42311351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IFERROR(__xludf.DUMMYFUNCTION("""COMPUTED_VALUE"""),191.26)</f>
        <v>191.26</v>
      </c>
      <c r="C293" s="2">
        <f>IFERROR(__xludf.DUMMYFUNCTION("""COMPUTED_VALUE"""),194.2)</f>
        <v>194.2</v>
      </c>
      <c r="D293" s="2">
        <f>IFERROR(__xludf.DUMMYFUNCTION("""COMPUTED_VALUE"""),186.14)</f>
        <v>186.14</v>
      </c>
      <c r="E293" s="2">
        <f>IFERROR(__xludf.DUMMYFUNCTION("""COMPUTED_VALUE"""),186.72)</f>
        <v>186.72</v>
      </c>
      <c r="F293" s="2">
        <f>IFERROR(__xludf.DUMMYFUNCTION("""COMPUTED_VALUE"""),1.7265859E7)</f>
        <v>17265859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IFERROR(__xludf.DUMMYFUNCTION("""COMPUTED_VALUE"""),185.89)</f>
        <v>185.89</v>
      </c>
      <c r="C294" s="2">
        <f>IFERROR(__xludf.DUMMYFUNCTION("""COMPUTED_VALUE"""),186.55)</f>
        <v>186.55</v>
      </c>
      <c r="D294" s="2">
        <f>IFERROR(__xludf.DUMMYFUNCTION("""COMPUTED_VALUE"""),175.3)</f>
        <v>175.3</v>
      </c>
      <c r="E294" s="2">
        <f>IFERROR(__xludf.DUMMYFUNCTION("""COMPUTED_VALUE"""),177.93)</f>
        <v>177.93</v>
      </c>
      <c r="F294" s="2">
        <f>IFERROR(__xludf.DUMMYFUNCTION("""COMPUTED_VALUE"""),1.6342261E7)</f>
        <v>16342261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IFERROR(__xludf.DUMMYFUNCTION("""COMPUTED_VALUE"""),175.03)</f>
        <v>175.03</v>
      </c>
      <c r="C295" s="2">
        <f>IFERROR(__xludf.DUMMYFUNCTION("""COMPUTED_VALUE"""),175.33)</f>
        <v>175.33</v>
      </c>
      <c r="D295" s="2">
        <f>IFERROR(__xludf.DUMMYFUNCTION("""COMPUTED_VALUE"""),166.32)</f>
        <v>166.32</v>
      </c>
      <c r="E295" s="2">
        <f>IFERROR(__xludf.DUMMYFUNCTION("""COMPUTED_VALUE"""),167.75)</f>
        <v>167.75</v>
      </c>
      <c r="F295" s="2">
        <f>IFERROR(__xludf.DUMMYFUNCTION("""COMPUTED_VALUE"""),1.4716891E7)</f>
        <v>14716891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IFERROR(__xludf.DUMMYFUNCTION("""COMPUTED_VALUE"""),170.0)</f>
        <v>170</v>
      </c>
      <c r="C296" s="2">
        <f>IFERROR(__xludf.DUMMYFUNCTION("""COMPUTED_VALUE"""),171.36)</f>
        <v>171.36</v>
      </c>
      <c r="D296" s="2">
        <f>IFERROR(__xludf.DUMMYFUNCTION("""COMPUTED_VALUE"""),163.37)</f>
        <v>163.37</v>
      </c>
      <c r="E296" s="2">
        <f>IFERROR(__xludf.DUMMYFUNCTION("""COMPUTED_VALUE"""),167.0)</f>
        <v>167</v>
      </c>
      <c r="F296" s="2">
        <f>IFERROR(__xludf.DUMMYFUNCTION("""COMPUTED_VALUE"""),1.2733359E7)</f>
        <v>12733359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IFERROR(__xludf.DUMMYFUNCTION("""COMPUTED_VALUE"""),167.0)</f>
        <v>167</v>
      </c>
      <c r="C297" s="2">
        <f>IFERROR(__xludf.DUMMYFUNCTION("""COMPUTED_VALUE"""),169.16)</f>
        <v>169.16</v>
      </c>
      <c r="D297" s="2">
        <f>IFERROR(__xludf.DUMMYFUNCTION("""COMPUTED_VALUE"""),163.71)</f>
        <v>163.71</v>
      </c>
      <c r="E297" s="2">
        <f>IFERROR(__xludf.DUMMYFUNCTION("""COMPUTED_VALUE"""),168.44)</f>
        <v>168.44</v>
      </c>
      <c r="F297" s="2">
        <f>IFERROR(__xludf.DUMMYFUNCTION("""COMPUTED_VALUE"""),9049602.0)</f>
        <v>9049602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IFERROR(__xludf.DUMMYFUNCTION("""COMPUTED_VALUE"""),169.29)</f>
        <v>169.29</v>
      </c>
      <c r="C298" s="2">
        <f>IFERROR(__xludf.DUMMYFUNCTION("""COMPUTED_VALUE"""),169.84)</f>
        <v>169.84</v>
      </c>
      <c r="D298" s="2">
        <f>IFERROR(__xludf.DUMMYFUNCTION("""COMPUTED_VALUE"""),161.63)</f>
        <v>161.63</v>
      </c>
      <c r="E298" s="2">
        <f>IFERROR(__xludf.DUMMYFUNCTION("""COMPUTED_VALUE"""),162.4)</f>
        <v>162.4</v>
      </c>
      <c r="F298" s="2">
        <f>IFERROR(__xludf.DUMMYFUNCTION("""COMPUTED_VALUE"""),9368999.0)</f>
        <v>9368999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IFERROR(__xludf.DUMMYFUNCTION("""COMPUTED_VALUE"""),161.42)</f>
        <v>161.42</v>
      </c>
      <c r="C299" s="2">
        <f>IFERROR(__xludf.DUMMYFUNCTION("""COMPUTED_VALUE"""),162.98)</f>
        <v>162.98</v>
      </c>
      <c r="D299" s="2">
        <f>IFERROR(__xludf.DUMMYFUNCTION("""COMPUTED_VALUE"""),160.4)</f>
        <v>160.4</v>
      </c>
      <c r="E299" s="2">
        <f>IFERROR(__xludf.DUMMYFUNCTION("""COMPUTED_VALUE"""),162.29)</f>
        <v>162.29</v>
      </c>
      <c r="F299" s="2">
        <f>IFERROR(__xludf.DUMMYFUNCTION("""COMPUTED_VALUE"""),6026073.0)</f>
        <v>6026073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IFERROR(__xludf.DUMMYFUNCTION("""COMPUTED_VALUE"""),162.94)</f>
        <v>162.94</v>
      </c>
      <c r="C300" s="2">
        <f>IFERROR(__xludf.DUMMYFUNCTION("""COMPUTED_VALUE"""),163.77)</f>
        <v>163.77</v>
      </c>
      <c r="D300" s="2">
        <f>IFERROR(__xludf.DUMMYFUNCTION("""COMPUTED_VALUE"""),159.7)</f>
        <v>159.7</v>
      </c>
      <c r="E300" s="2">
        <f>IFERROR(__xludf.DUMMYFUNCTION("""COMPUTED_VALUE"""),161.95)</f>
        <v>161.95</v>
      </c>
      <c r="F300" s="2">
        <f>IFERROR(__xludf.DUMMYFUNCTION("""COMPUTED_VALUE"""),7386921.0)</f>
        <v>7386921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IFERROR(__xludf.DUMMYFUNCTION("""COMPUTED_VALUE"""),161.27)</f>
        <v>161.27</v>
      </c>
      <c r="C301" s="2">
        <f>IFERROR(__xludf.DUMMYFUNCTION("""COMPUTED_VALUE"""),166.84)</f>
        <v>166.84</v>
      </c>
      <c r="D301" s="2">
        <f>IFERROR(__xludf.DUMMYFUNCTION("""COMPUTED_VALUE"""),160.7)</f>
        <v>160.7</v>
      </c>
      <c r="E301" s="2">
        <f>IFERROR(__xludf.DUMMYFUNCTION("""COMPUTED_VALUE"""),162.31)</f>
        <v>162.31</v>
      </c>
      <c r="F301" s="2">
        <f>IFERROR(__xludf.DUMMYFUNCTION("""COMPUTED_VALUE"""),5866709.0)</f>
        <v>5866709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IFERROR(__xludf.DUMMYFUNCTION("""COMPUTED_VALUE"""),162.02)</f>
        <v>162.02</v>
      </c>
      <c r="C302" s="2">
        <f>IFERROR(__xludf.DUMMYFUNCTION("""COMPUTED_VALUE"""),162.5)</f>
        <v>162.5</v>
      </c>
      <c r="D302" s="2">
        <f>IFERROR(__xludf.DUMMYFUNCTION("""COMPUTED_VALUE"""),157.8)</f>
        <v>157.8</v>
      </c>
      <c r="E302" s="2">
        <f>IFERROR(__xludf.DUMMYFUNCTION("""COMPUTED_VALUE"""),158.92)</f>
        <v>158.92</v>
      </c>
      <c r="F302" s="2">
        <f>IFERROR(__xludf.DUMMYFUNCTION("""COMPUTED_VALUE"""),5999111.0)</f>
        <v>5999111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IFERROR(__xludf.DUMMYFUNCTION("""COMPUTED_VALUE"""),158.78)</f>
        <v>158.78</v>
      </c>
      <c r="C303" s="2">
        <f>IFERROR(__xludf.DUMMYFUNCTION("""COMPUTED_VALUE"""),160.24)</f>
        <v>160.24</v>
      </c>
      <c r="D303" s="2">
        <f>IFERROR(__xludf.DUMMYFUNCTION("""COMPUTED_VALUE"""),156.62)</f>
        <v>156.62</v>
      </c>
      <c r="E303" s="2">
        <f>IFERROR(__xludf.DUMMYFUNCTION("""COMPUTED_VALUE"""),156.97)</f>
        <v>156.97</v>
      </c>
      <c r="F303" s="2">
        <f>IFERROR(__xludf.DUMMYFUNCTION("""COMPUTED_VALUE"""),8280637.0)</f>
        <v>8280637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IFERROR(__xludf.DUMMYFUNCTION("""COMPUTED_VALUE"""),157.52)</f>
        <v>157.52</v>
      </c>
      <c r="C304" s="2">
        <f>IFERROR(__xludf.DUMMYFUNCTION("""COMPUTED_VALUE"""),158.26)</f>
        <v>158.26</v>
      </c>
      <c r="D304" s="2">
        <f>IFERROR(__xludf.DUMMYFUNCTION("""COMPUTED_VALUE"""),155.55)</f>
        <v>155.55</v>
      </c>
      <c r="E304" s="2">
        <f>IFERROR(__xludf.DUMMYFUNCTION("""COMPUTED_VALUE"""),156.31)</f>
        <v>156.31</v>
      </c>
      <c r="F304" s="2">
        <f>IFERROR(__xludf.DUMMYFUNCTION("""COMPUTED_VALUE"""),7127229.0)</f>
        <v>7127229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IFERROR(__xludf.DUMMYFUNCTION("""COMPUTED_VALUE"""),152.11)</f>
        <v>152.11</v>
      </c>
      <c r="C305" s="2">
        <f>IFERROR(__xludf.DUMMYFUNCTION("""COMPUTED_VALUE"""),157.84)</f>
        <v>157.84</v>
      </c>
      <c r="D305" s="2">
        <f>IFERROR(__xludf.DUMMYFUNCTION("""COMPUTED_VALUE"""),151.49)</f>
        <v>151.49</v>
      </c>
      <c r="E305" s="2">
        <f>IFERROR(__xludf.DUMMYFUNCTION("""COMPUTED_VALUE"""),157.7)</f>
        <v>157.7</v>
      </c>
      <c r="F305" s="2">
        <f>IFERROR(__xludf.DUMMYFUNCTION("""COMPUTED_VALUE"""),6644858.0)</f>
        <v>6644858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IFERROR(__xludf.DUMMYFUNCTION("""COMPUTED_VALUE"""),158.05)</f>
        <v>158.05</v>
      </c>
      <c r="C306" s="2">
        <f>IFERROR(__xludf.DUMMYFUNCTION("""COMPUTED_VALUE"""),164.31)</f>
        <v>164.31</v>
      </c>
      <c r="D306" s="2">
        <f>IFERROR(__xludf.DUMMYFUNCTION("""COMPUTED_VALUE"""),158.05)</f>
        <v>158.05</v>
      </c>
      <c r="E306" s="2">
        <f>IFERROR(__xludf.DUMMYFUNCTION("""COMPUTED_VALUE"""),163.04)</f>
        <v>163.04</v>
      </c>
      <c r="F306" s="2">
        <f>IFERROR(__xludf.DUMMYFUNCTION("""COMPUTED_VALUE"""),7596629.0)</f>
        <v>7596629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IFERROR(__xludf.DUMMYFUNCTION("""COMPUTED_VALUE"""),166.0)</f>
        <v>166</v>
      </c>
      <c r="C307" s="2">
        <f>IFERROR(__xludf.DUMMYFUNCTION("""COMPUTED_VALUE"""),168.68)</f>
        <v>168.68</v>
      </c>
      <c r="D307" s="2">
        <f>IFERROR(__xludf.DUMMYFUNCTION("""COMPUTED_VALUE"""),157.21)</f>
        <v>157.21</v>
      </c>
      <c r="E307" s="2">
        <f>IFERROR(__xludf.DUMMYFUNCTION("""COMPUTED_VALUE"""),158.39)</f>
        <v>158.39</v>
      </c>
      <c r="F307" s="2">
        <f>IFERROR(__xludf.DUMMYFUNCTION("""COMPUTED_VALUE"""),1.1393371E7)</f>
        <v>11393371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IFERROR(__xludf.DUMMYFUNCTION("""COMPUTED_VALUE"""),158.39)</f>
        <v>158.39</v>
      </c>
      <c r="C308" s="2">
        <f>IFERROR(__xludf.DUMMYFUNCTION("""COMPUTED_VALUE"""),160.3)</f>
        <v>160.3</v>
      </c>
      <c r="D308" s="2">
        <f>IFERROR(__xludf.DUMMYFUNCTION("""COMPUTED_VALUE"""),157.0)</f>
        <v>157</v>
      </c>
      <c r="E308" s="2">
        <f>IFERROR(__xludf.DUMMYFUNCTION("""COMPUTED_VALUE"""),159.03)</f>
        <v>159.03</v>
      </c>
      <c r="F308" s="2">
        <f>IFERROR(__xludf.DUMMYFUNCTION("""COMPUTED_VALUE"""),4085102.0)</f>
        <v>4085102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IFERROR(__xludf.DUMMYFUNCTION("""COMPUTED_VALUE"""),157.79)</f>
        <v>157.79</v>
      </c>
      <c r="C309" s="2">
        <f>IFERROR(__xludf.DUMMYFUNCTION("""COMPUTED_VALUE"""),159.1)</f>
        <v>159.1</v>
      </c>
      <c r="D309" s="2">
        <f>IFERROR(__xludf.DUMMYFUNCTION("""COMPUTED_VALUE"""),157.25)</f>
        <v>157.25</v>
      </c>
      <c r="E309" s="2">
        <f>IFERROR(__xludf.DUMMYFUNCTION("""COMPUTED_VALUE"""),158.14)</f>
        <v>158.14</v>
      </c>
      <c r="F309" s="2">
        <f>IFERROR(__xludf.DUMMYFUNCTION("""COMPUTED_VALUE"""),3108718.0)</f>
        <v>3108718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IFERROR(__xludf.DUMMYFUNCTION("""COMPUTED_VALUE"""),159.38)</f>
        <v>159.38</v>
      </c>
      <c r="C310" s="2">
        <f>IFERROR(__xludf.DUMMYFUNCTION("""COMPUTED_VALUE"""),160.97)</f>
        <v>160.97</v>
      </c>
      <c r="D310" s="2">
        <f>IFERROR(__xludf.DUMMYFUNCTION("""COMPUTED_VALUE"""),157.64)</f>
        <v>157.64</v>
      </c>
      <c r="E310" s="2">
        <f>IFERROR(__xludf.DUMMYFUNCTION("""COMPUTED_VALUE"""),158.02)</f>
        <v>158.02</v>
      </c>
      <c r="F310" s="2">
        <f>IFERROR(__xludf.DUMMYFUNCTION("""COMPUTED_VALUE"""),4069083.0)</f>
        <v>4069083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IFERROR(__xludf.DUMMYFUNCTION("""COMPUTED_VALUE"""),159.6)</f>
        <v>159.6</v>
      </c>
      <c r="C311" s="2">
        <f>IFERROR(__xludf.DUMMYFUNCTION("""COMPUTED_VALUE"""),160.63)</f>
        <v>160.63</v>
      </c>
      <c r="D311" s="2">
        <f>IFERROR(__xludf.DUMMYFUNCTION("""COMPUTED_VALUE"""),157.7)</f>
        <v>157.7</v>
      </c>
      <c r="E311" s="2">
        <f>IFERROR(__xludf.DUMMYFUNCTION("""COMPUTED_VALUE"""),160.04)</f>
        <v>160.04</v>
      </c>
      <c r="F311" s="2">
        <f>IFERROR(__xludf.DUMMYFUNCTION("""COMPUTED_VALUE"""),4698138.0)</f>
        <v>4698138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IFERROR(__xludf.DUMMYFUNCTION("""COMPUTED_VALUE"""),164.02)</f>
        <v>164.02</v>
      </c>
      <c r="C312" s="2">
        <f>IFERROR(__xludf.DUMMYFUNCTION("""COMPUTED_VALUE"""),165.89)</f>
        <v>165.89</v>
      </c>
      <c r="D312" s="2">
        <f>IFERROR(__xludf.DUMMYFUNCTION("""COMPUTED_VALUE"""),161.0)</f>
        <v>161</v>
      </c>
      <c r="E312" s="2">
        <f>IFERROR(__xludf.DUMMYFUNCTION("""COMPUTED_VALUE"""),161.6)</f>
        <v>161.6</v>
      </c>
      <c r="F312" s="2">
        <f>IFERROR(__xludf.DUMMYFUNCTION("""COMPUTED_VALUE"""),1.0106906E7)</f>
        <v>10106906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IFERROR(__xludf.DUMMYFUNCTION("""COMPUTED_VALUE"""),161.86)</f>
        <v>161.86</v>
      </c>
      <c r="C313" s="2">
        <f>IFERROR(__xludf.DUMMYFUNCTION("""COMPUTED_VALUE"""),163.75)</f>
        <v>163.75</v>
      </c>
      <c r="D313" s="2">
        <f>IFERROR(__xludf.DUMMYFUNCTION("""COMPUTED_VALUE"""),159.74)</f>
        <v>159.74</v>
      </c>
      <c r="E313" s="2">
        <f>IFERROR(__xludf.DUMMYFUNCTION("""COMPUTED_VALUE"""),160.52)</f>
        <v>160.52</v>
      </c>
      <c r="F313" s="2">
        <f>IFERROR(__xludf.DUMMYFUNCTION("""COMPUTED_VALUE"""),3928834.0)</f>
        <v>3928834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IFERROR(__xludf.DUMMYFUNCTION("""COMPUTED_VALUE"""),157.5)</f>
        <v>157.5</v>
      </c>
      <c r="C314" s="2">
        <f>IFERROR(__xludf.DUMMYFUNCTION("""COMPUTED_VALUE"""),157.77)</f>
        <v>157.77</v>
      </c>
      <c r="D314" s="2">
        <f>IFERROR(__xludf.DUMMYFUNCTION("""COMPUTED_VALUE"""),155.07)</f>
        <v>155.07</v>
      </c>
      <c r="E314" s="2">
        <f>IFERROR(__xludf.DUMMYFUNCTION("""COMPUTED_VALUE"""),156.19)</f>
        <v>156.19</v>
      </c>
      <c r="F314" s="2">
        <f>IFERROR(__xludf.DUMMYFUNCTION("""COMPUTED_VALUE"""),5615491.0)</f>
        <v>5615491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IFERROR(__xludf.DUMMYFUNCTION("""COMPUTED_VALUE"""),155.15)</f>
        <v>155.15</v>
      </c>
      <c r="C315" s="2">
        <f>IFERROR(__xludf.DUMMYFUNCTION("""COMPUTED_VALUE"""),155.3)</f>
        <v>155.3</v>
      </c>
      <c r="D315" s="2">
        <f>IFERROR(__xludf.DUMMYFUNCTION("""COMPUTED_VALUE"""),152.53)</f>
        <v>152.53</v>
      </c>
      <c r="E315" s="2">
        <f>IFERROR(__xludf.DUMMYFUNCTION("""COMPUTED_VALUE"""),153.02)</f>
        <v>153.02</v>
      </c>
      <c r="F315" s="2">
        <f>IFERROR(__xludf.DUMMYFUNCTION("""COMPUTED_VALUE"""),6147013.0)</f>
        <v>6147013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IFERROR(__xludf.DUMMYFUNCTION("""COMPUTED_VALUE"""),153.11)</f>
        <v>153.11</v>
      </c>
      <c r="C316" s="2">
        <f>IFERROR(__xludf.DUMMYFUNCTION("""COMPUTED_VALUE"""),156.0)</f>
        <v>156</v>
      </c>
      <c r="D316" s="2">
        <f>IFERROR(__xludf.DUMMYFUNCTION("""COMPUTED_VALUE"""),150.62)</f>
        <v>150.62</v>
      </c>
      <c r="E316" s="2">
        <f>IFERROR(__xludf.DUMMYFUNCTION("""COMPUTED_VALUE"""),151.34)</f>
        <v>151.34</v>
      </c>
      <c r="F316" s="2">
        <f>IFERROR(__xludf.DUMMYFUNCTION("""COMPUTED_VALUE"""),6249543.0)</f>
        <v>6249543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IFERROR(__xludf.DUMMYFUNCTION("""COMPUTED_VALUE"""),152.48)</f>
        <v>152.48</v>
      </c>
      <c r="C317" s="2">
        <f>IFERROR(__xludf.DUMMYFUNCTION("""COMPUTED_VALUE"""),155.55)</f>
        <v>155.55</v>
      </c>
      <c r="D317" s="2">
        <f>IFERROR(__xludf.DUMMYFUNCTION("""COMPUTED_VALUE"""),152.17)</f>
        <v>152.17</v>
      </c>
      <c r="E317" s="2">
        <f>IFERROR(__xludf.DUMMYFUNCTION("""COMPUTED_VALUE"""),153.86)</f>
        <v>153.86</v>
      </c>
      <c r="F317" s="2">
        <f>IFERROR(__xludf.DUMMYFUNCTION("""COMPUTED_VALUE"""),5120008.0)</f>
        <v>5120008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IFERROR(__xludf.DUMMYFUNCTION("""COMPUTED_VALUE"""),153.86)</f>
        <v>153.86</v>
      </c>
      <c r="C318" s="2">
        <f>IFERROR(__xludf.DUMMYFUNCTION("""COMPUTED_VALUE"""),155.69)</f>
        <v>155.69</v>
      </c>
      <c r="D318" s="2">
        <f>IFERROR(__xludf.DUMMYFUNCTION("""COMPUTED_VALUE"""),151.69)</f>
        <v>151.69</v>
      </c>
      <c r="E318" s="2">
        <f>IFERROR(__xludf.DUMMYFUNCTION("""COMPUTED_VALUE"""),154.86)</f>
        <v>154.86</v>
      </c>
      <c r="F318" s="2">
        <f>IFERROR(__xludf.DUMMYFUNCTION("""COMPUTED_VALUE"""),2682723.0)</f>
        <v>2682723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IFERROR(__xludf.DUMMYFUNCTION("""COMPUTED_VALUE"""),155.12)</f>
        <v>155.12</v>
      </c>
      <c r="C319" s="2">
        <f>IFERROR(__xludf.DUMMYFUNCTION("""COMPUTED_VALUE"""),156.9)</f>
        <v>156.9</v>
      </c>
      <c r="D319" s="2">
        <f>IFERROR(__xludf.DUMMYFUNCTION("""COMPUTED_VALUE"""),153.83)</f>
        <v>153.83</v>
      </c>
      <c r="E319" s="2">
        <f>IFERROR(__xludf.DUMMYFUNCTION("""COMPUTED_VALUE"""),155.58)</f>
        <v>155.58</v>
      </c>
      <c r="F319" s="2">
        <f>IFERROR(__xludf.DUMMYFUNCTION("""COMPUTED_VALUE"""),3412176.0)</f>
        <v>3412176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IFERROR(__xludf.DUMMYFUNCTION("""COMPUTED_VALUE"""),151.6)</f>
        <v>151.6</v>
      </c>
      <c r="C320" s="2">
        <f>IFERROR(__xludf.DUMMYFUNCTION("""COMPUTED_VALUE"""),153.51)</f>
        <v>153.51</v>
      </c>
      <c r="D320" s="2">
        <f>IFERROR(__xludf.DUMMYFUNCTION("""COMPUTED_VALUE"""),151.55)</f>
        <v>151.55</v>
      </c>
      <c r="E320" s="2">
        <f>IFERROR(__xludf.DUMMYFUNCTION("""COMPUTED_VALUE"""),152.97)</f>
        <v>152.97</v>
      </c>
      <c r="F320" s="2">
        <f>IFERROR(__xludf.DUMMYFUNCTION("""COMPUTED_VALUE"""),3602446.0)</f>
        <v>3602446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IFERROR(__xludf.DUMMYFUNCTION("""COMPUTED_VALUE"""),154.66)</f>
        <v>154.66</v>
      </c>
      <c r="C321" s="2">
        <f>IFERROR(__xludf.DUMMYFUNCTION("""COMPUTED_VALUE"""),159.92)</f>
        <v>159.92</v>
      </c>
      <c r="D321" s="2">
        <f>IFERROR(__xludf.DUMMYFUNCTION("""COMPUTED_VALUE"""),154.33)</f>
        <v>154.33</v>
      </c>
      <c r="E321" s="2">
        <f>IFERROR(__xludf.DUMMYFUNCTION("""COMPUTED_VALUE"""),159.35)</f>
        <v>159.35</v>
      </c>
      <c r="F321" s="2">
        <f>IFERROR(__xludf.DUMMYFUNCTION("""COMPUTED_VALUE"""),5737466.0)</f>
        <v>5737466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IFERROR(__xludf.DUMMYFUNCTION("""COMPUTED_VALUE"""),157.1)</f>
        <v>157.1</v>
      </c>
      <c r="C322" s="2">
        <f>IFERROR(__xludf.DUMMYFUNCTION("""COMPUTED_VALUE"""),160.52)</f>
        <v>160.52</v>
      </c>
      <c r="D322" s="2">
        <f>IFERROR(__xludf.DUMMYFUNCTION("""COMPUTED_VALUE"""),156.78)</f>
        <v>156.78</v>
      </c>
      <c r="E322" s="2">
        <f>IFERROR(__xludf.DUMMYFUNCTION("""COMPUTED_VALUE"""),158.56)</f>
        <v>158.56</v>
      </c>
      <c r="F322" s="2">
        <f>IFERROR(__xludf.DUMMYFUNCTION("""COMPUTED_VALUE"""),4663615.0)</f>
        <v>4663615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IFERROR(__xludf.DUMMYFUNCTION("""COMPUTED_VALUE"""),156.38)</f>
        <v>156.38</v>
      </c>
      <c r="C323" s="2">
        <f>IFERROR(__xludf.DUMMYFUNCTION("""COMPUTED_VALUE"""),157.03)</f>
        <v>157.03</v>
      </c>
      <c r="D323" s="2">
        <f>IFERROR(__xludf.DUMMYFUNCTION("""COMPUTED_VALUE"""),151.09)</f>
        <v>151.09</v>
      </c>
      <c r="E323" s="2">
        <f>IFERROR(__xludf.DUMMYFUNCTION("""COMPUTED_VALUE"""),151.98)</f>
        <v>151.98</v>
      </c>
      <c r="F323" s="2">
        <f>IFERROR(__xludf.DUMMYFUNCTION("""COMPUTED_VALUE"""),5929197.0)</f>
        <v>5929197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IFERROR(__xludf.DUMMYFUNCTION("""COMPUTED_VALUE"""),151.51)</f>
        <v>151.51</v>
      </c>
      <c r="C324" s="2">
        <f>IFERROR(__xludf.DUMMYFUNCTION("""COMPUTED_VALUE"""),152.07)</f>
        <v>152.07</v>
      </c>
      <c r="D324" s="2">
        <f>IFERROR(__xludf.DUMMYFUNCTION("""COMPUTED_VALUE"""),149.11)</f>
        <v>149.11</v>
      </c>
      <c r="E324" s="2">
        <f>IFERROR(__xludf.DUMMYFUNCTION("""COMPUTED_VALUE"""),150.3)</f>
        <v>150.3</v>
      </c>
      <c r="F324" s="2">
        <f>IFERROR(__xludf.DUMMYFUNCTION("""COMPUTED_VALUE"""),4705665.0)</f>
        <v>4705665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IFERROR(__xludf.DUMMYFUNCTION("""COMPUTED_VALUE"""),151.04)</f>
        <v>151.04</v>
      </c>
      <c r="C325" s="2">
        <f>IFERROR(__xludf.DUMMYFUNCTION("""COMPUTED_VALUE"""),152.44)</f>
        <v>152.44</v>
      </c>
      <c r="D325" s="2">
        <f>IFERROR(__xludf.DUMMYFUNCTION("""COMPUTED_VALUE"""),148.77)</f>
        <v>148.77</v>
      </c>
      <c r="E325" s="2">
        <f>IFERROR(__xludf.DUMMYFUNCTION("""COMPUTED_VALUE"""),148.8)</f>
        <v>148.8</v>
      </c>
      <c r="F325" s="2">
        <f>IFERROR(__xludf.DUMMYFUNCTION("""COMPUTED_VALUE"""),3767066.0)</f>
        <v>3767066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IFERROR(__xludf.DUMMYFUNCTION("""COMPUTED_VALUE"""),148.67)</f>
        <v>148.67</v>
      </c>
      <c r="C326" s="2">
        <f>IFERROR(__xludf.DUMMYFUNCTION("""COMPUTED_VALUE"""),150.9)</f>
        <v>150.9</v>
      </c>
      <c r="D326" s="2">
        <f>IFERROR(__xludf.DUMMYFUNCTION("""COMPUTED_VALUE"""),147.64)</f>
        <v>147.64</v>
      </c>
      <c r="E326" s="2">
        <f>IFERROR(__xludf.DUMMYFUNCTION("""COMPUTED_VALUE"""),148.41)</f>
        <v>148.41</v>
      </c>
      <c r="F326" s="2">
        <f>IFERROR(__xludf.DUMMYFUNCTION("""COMPUTED_VALUE"""),3795534.0)</f>
        <v>3795534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IFERROR(__xludf.DUMMYFUNCTION("""COMPUTED_VALUE"""),147.66)</f>
        <v>147.66</v>
      </c>
      <c r="C327" s="2">
        <f>IFERROR(__xludf.DUMMYFUNCTION("""COMPUTED_VALUE"""),150.09)</f>
        <v>150.09</v>
      </c>
      <c r="D327" s="2">
        <f>IFERROR(__xludf.DUMMYFUNCTION("""COMPUTED_VALUE"""),144.55)</f>
        <v>144.55</v>
      </c>
      <c r="E327" s="2">
        <f>IFERROR(__xludf.DUMMYFUNCTION("""COMPUTED_VALUE"""),145.45)</f>
        <v>145.45</v>
      </c>
      <c r="F327" s="2">
        <f>IFERROR(__xludf.DUMMYFUNCTION("""COMPUTED_VALUE"""),4974560.0)</f>
        <v>4974560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IFERROR(__xludf.DUMMYFUNCTION("""COMPUTED_VALUE"""),145.45)</f>
        <v>145.45</v>
      </c>
      <c r="C328" s="2">
        <f>IFERROR(__xludf.DUMMYFUNCTION("""COMPUTED_VALUE"""),148.4)</f>
        <v>148.4</v>
      </c>
      <c r="D328" s="2">
        <f>IFERROR(__xludf.DUMMYFUNCTION("""COMPUTED_VALUE"""),144.32)</f>
        <v>144.32</v>
      </c>
      <c r="E328" s="2">
        <f>IFERROR(__xludf.DUMMYFUNCTION("""COMPUTED_VALUE"""),147.21)</f>
        <v>147.21</v>
      </c>
      <c r="F328" s="2">
        <f>IFERROR(__xludf.DUMMYFUNCTION("""COMPUTED_VALUE"""),3736481.0)</f>
        <v>3736481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IFERROR(__xludf.DUMMYFUNCTION("""COMPUTED_VALUE"""),148.93)</f>
        <v>148.93</v>
      </c>
      <c r="C329" s="2">
        <f>IFERROR(__xludf.DUMMYFUNCTION("""COMPUTED_VALUE"""),152.08)</f>
        <v>152.08</v>
      </c>
      <c r="D329" s="2">
        <f>IFERROR(__xludf.DUMMYFUNCTION("""COMPUTED_VALUE"""),148.8)</f>
        <v>148.8</v>
      </c>
      <c r="E329" s="2">
        <f>IFERROR(__xludf.DUMMYFUNCTION("""COMPUTED_VALUE"""),151.17)</f>
        <v>151.17</v>
      </c>
      <c r="F329" s="2">
        <f>IFERROR(__xludf.DUMMYFUNCTION("""COMPUTED_VALUE"""),4826509.0)</f>
        <v>4826509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IFERROR(__xludf.DUMMYFUNCTION("""COMPUTED_VALUE"""),153.0)</f>
        <v>153</v>
      </c>
      <c r="C330" s="2">
        <f>IFERROR(__xludf.DUMMYFUNCTION("""COMPUTED_VALUE"""),155.08)</f>
        <v>155.08</v>
      </c>
      <c r="D330" s="2">
        <f>IFERROR(__xludf.DUMMYFUNCTION("""COMPUTED_VALUE"""),152.03)</f>
        <v>152.03</v>
      </c>
      <c r="E330" s="2">
        <f>IFERROR(__xludf.DUMMYFUNCTION("""COMPUTED_VALUE"""),154.99)</f>
        <v>154.99</v>
      </c>
      <c r="F330" s="2">
        <f>IFERROR(__xludf.DUMMYFUNCTION("""COMPUTED_VALUE"""),3972698.0)</f>
        <v>3972698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IFERROR(__xludf.DUMMYFUNCTION("""COMPUTED_VALUE"""),152.59)</f>
        <v>152.59</v>
      </c>
      <c r="C331" s="2">
        <f>IFERROR(__xludf.DUMMYFUNCTION("""COMPUTED_VALUE"""),153.82)</f>
        <v>153.82</v>
      </c>
      <c r="D331" s="2">
        <f>IFERROR(__xludf.DUMMYFUNCTION("""COMPUTED_VALUE"""),149.55)</f>
        <v>149.55</v>
      </c>
      <c r="E331" s="2">
        <f>IFERROR(__xludf.DUMMYFUNCTION("""COMPUTED_VALUE"""),152.5)</f>
        <v>152.5</v>
      </c>
      <c r="F331" s="2">
        <f>IFERROR(__xludf.DUMMYFUNCTION("""COMPUTED_VALUE"""),3965032.0)</f>
        <v>3965032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IFERROR(__xludf.DUMMYFUNCTION("""COMPUTED_VALUE"""),159.76)</f>
        <v>159.76</v>
      </c>
      <c r="C332" s="2">
        <f>IFERROR(__xludf.DUMMYFUNCTION("""COMPUTED_VALUE"""),160.29)</f>
        <v>160.29</v>
      </c>
      <c r="D332" s="2">
        <f>IFERROR(__xludf.DUMMYFUNCTION("""COMPUTED_VALUE"""),155.8)</f>
        <v>155.8</v>
      </c>
      <c r="E332" s="2">
        <f>IFERROR(__xludf.DUMMYFUNCTION("""COMPUTED_VALUE"""),158.13)</f>
        <v>158.13</v>
      </c>
      <c r="F332" s="2">
        <f>IFERROR(__xludf.DUMMYFUNCTION("""COMPUTED_VALUE"""),6533260.0)</f>
        <v>6533260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IFERROR(__xludf.DUMMYFUNCTION("""COMPUTED_VALUE"""),158.7)</f>
        <v>158.7</v>
      </c>
      <c r="C333" s="2">
        <f>IFERROR(__xludf.DUMMYFUNCTION("""COMPUTED_VALUE"""),159.61)</f>
        <v>159.61</v>
      </c>
      <c r="D333" s="2">
        <f>IFERROR(__xludf.DUMMYFUNCTION("""COMPUTED_VALUE"""),156.24)</f>
        <v>156.24</v>
      </c>
      <c r="E333" s="2">
        <f>IFERROR(__xludf.DUMMYFUNCTION("""COMPUTED_VALUE"""),157.44)</f>
        <v>157.44</v>
      </c>
      <c r="F333" s="2">
        <f>IFERROR(__xludf.DUMMYFUNCTION("""COMPUTED_VALUE"""),5168711.0)</f>
        <v>5168711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IFERROR(__xludf.DUMMYFUNCTION("""COMPUTED_VALUE"""),156.13)</f>
        <v>156.13</v>
      </c>
      <c r="C334" s="2">
        <f>IFERROR(__xludf.DUMMYFUNCTION("""COMPUTED_VALUE"""),158.58)</f>
        <v>158.58</v>
      </c>
      <c r="D334" s="2">
        <f>IFERROR(__xludf.DUMMYFUNCTION("""COMPUTED_VALUE"""),155.0)</f>
        <v>155</v>
      </c>
      <c r="E334" s="2">
        <f>IFERROR(__xludf.DUMMYFUNCTION("""COMPUTED_VALUE"""),155.2)</f>
        <v>155.2</v>
      </c>
      <c r="F334" s="2">
        <f>IFERROR(__xludf.DUMMYFUNCTION("""COMPUTED_VALUE"""),4016193.0)</f>
        <v>4016193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IFERROR(__xludf.DUMMYFUNCTION("""COMPUTED_VALUE"""),158.14)</f>
        <v>158.14</v>
      </c>
      <c r="C335" s="2">
        <f>IFERROR(__xludf.DUMMYFUNCTION("""COMPUTED_VALUE"""),160.3)</f>
        <v>160.3</v>
      </c>
      <c r="D335" s="2">
        <f>IFERROR(__xludf.DUMMYFUNCTION("""COMPUTED_VALUE"""),154.18)</f>
        <v>154.18</v>
      </c>
      <c r="E335" s="2">
        <f>IFERROR(__xludf.DUMMYFUNCTION("""COMPUTED_VALUE"""),156.14)</f>
        <v>156.14</v>
      </c>
      <c r="F335" s="2">
        <f>IFERROR(__xludf.DUMMYFUNCTION("""COMPUTED_VALUE"""),3423066.0)</f>
        <v>3423066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IFERROR(__xludf.DUMMYFUNCTION("""COMPUTED_VALUE"""),158.01)</f>
        <v>158.01</v>
      </c>
      <c r="C336" s="2">
        <f>IFERROR(__xludf.DUMMYFUNCTION("""COMPUTED_VALUE"""),159.39)</f>
        <v>159.39</v>
      </c>
      <c r="D336" s="2">
        <f>IFERROR(__xludf.DUMMYFUNCTION("""COMPUTED_VALUE"""),154.29)</f>
        <v>154.29</v>
      </c>
      <c r="E336" s="2">
        <f>IFERROR(__xludf.DUMMYFUNCTION("""COMPUTED_VALUE"""),157.77)</f>
        <v>157.77</v>
      </c>
      <c r="F336" s="2">
        <f>IFERROR(__xludf.DUMMYFUNCTION("""COMPUTED_VALUE"""),2671605.0)</f>
        <v>2671605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IFERROR(__xludf.DUMMYFUNCTION("""COMPUTED_VALUE"""),161.0)</f>
        <v>161</v>
      </c>
      <c r="C337" s="2">
        <f>IFERROR(__xludf.DUMMYFUNCTION("""COMPUTED_VALUE"""),161.38)</f>
        <v>161.38</v>
      </c>
      <c r="D337" s="2">
        <f>IFERROR(__xludf.DUMMYFUNCTION("""COMPUTED_VALUE"""),157.69)</f>
        <v>157.69</v>
      </c>
      <c r="E337" s="2">
        <f>IFERROR(__xludf.DUMMYFUNCTION("""COMPUTED_VALUE"""),159.32)</f>
        <v>159.32</v>
      </c>
      <c r="F337" s="2">
        <f>IFERROR(__xludf.DUMMYFUNCTION("""COMPUTED_VALUE"""),3660233.0)</f>
        <v>3660233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IFERROR(__xludf.DUMMYFUNCTION("""COMPUTED_VALUE"""),160.11)</f>
        <v>160.11</v>
      </c>
      <c r="C338" s="2">
        <f>IFERROR(__xludf.DUMMYFUNCTION("""COMPUTED_VALUE"""),163.88)</f>
        <v>163.88</v>
      </c>
      <c r="D338" s="2">
        <f>IFERROR(__xludf.DUMMYFUNCTION("""COMPUTED_VALUE"""),159.38)</f>
        <v>159.38</v>
      </c>
      <c r="E338" s="2">
        <f>IFERROR(__xludf.DUMMYFUNCTION("""COMPUTED_VALUE"""),163.68)</f>
        <v>163.68</v>
      </c>
      <c r="F338" s="2">
        <f>IFERROR(__xludf.DUMMYFUNCTION("""COMPUTED_VALUE"""),3198506.0)</f>
        <v>3198506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IFERROR(__xludf.DUMMYFUNCTION("""COMPUTED_VALUE"""),160.22)</f>
        <v>160.22</v>
      </c>
      <c r="C339" s="2">
        <f>IFERROR(__xludf.DUMMYFUNCTION("""COMPUTED_VALUE"""),160.92)</f>
        <v>160.92</v>
      </c>
      <c r="D339" s="2">
        <f>IFERROR(__xludf.DUMMYFUNCTION("""COMPUTED_VALUE"""),158.27)</f>
        <v>158.27</v>
      </c>
      <c r="E339" s="2">
        <f>IFERROR(__xludf.DUMMYFUNCTION("""COMPUTED_VALUE"""),159.09)</f>
        <v>159.09</v>
      </c>
      <c r="F339" s="2">
        <f>IFERROR(__xludf.DUMMYFUNCTION("""COMPUTED_VALUE"""),4569262.0)</f>
        <v>4569262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IFERROR(__xludf.DUMMYFUNCTION("""COMPUTED_VALUE"""),158.1)</f>
        <v>158.1</v>
      </c>
      <c r="C340" s="2">
        <f>IFERROR(__xludf.DUMMYFUNCTION("""COMPUTED_VALUE"""),159.64)</f>
        <v>159.64</v>
      </c>
      <c r="D340" s="2">
        <f>IFERROR(__xludf.DUMMYFUNCTION("""COMPUTED_VALUE"""),157.0)</f>
        <v>157</v>
      </c>
      <c r="E340" s="2">
        <f>IFERROR(__xludf.DUMMYFUNCTION("""COMPUTED_VALUE"""),157.78)</f>
        <v>157.78</v>
      </c>
      <c r="F340" s="2">
        <f>IFERROR(__xludf.DUMMYFUNCTION("""COMPUTED_VALUE"""),2632188.0)</f>
        <v>2632188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IFERROR(__xludf.DUMMYFUNCTION("""COMPUTED_VALUE"""),157.86)</f>
        <v>157.86</v>
      </c>
      <c r="C341" s="2">
        <f>IFERROR(__xludf.DUMMYFUNCTION("""COMPUTED_VALUE"""),158.17)</f>
        <v>158.17</v>
      </c>
      <c r="D341" s="2">
        <f>IFERROR(__xludf.DUMMYFUNCTION("""COMPUTED_VALUE"""),155.77)</f>
        <v>155.77</v>
      </c>
      <c r="E341" s="2">
        <f>IFERROR(__xludf.DUMMYFUNCTION("""COMPUTED_VALUE"""),155.87)</f>
        <v>155.87</v>
      </c>
      <c r="F341" s="2">
        <f>IFERROR(__xludf.DUMMYFUNCTION("""COMPUTED_VALUE"""),2560789.0)</f>
        <v>2560789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IFERROR(__xludf.DUMMYFUNCTION("""COMPUTED_VALUE"""),157.1)</f>
        <v>157.1</v>
      </c>
      <c r="C342" s="2">
        <f>IFERROR(__xludf.DUMMYFUNCTION("""COMPUTED_VALUE"""),158.12)</f>
        <v>158.12</v>
      </c>
      <c r="D342" s="2">
        <f>IFERROR(__xludf.DUMMYFUNCTION("""COMPUTED_VALUE"""),155.42)</f>
        <v>155.42</v>
      </c>
      <c r="E342" s="2">
        <f>IFERROR(__xludf.DUMMYFUNCTION("""COMPUTED_VALUE"""),157.15)</f>
        <v>157.15</v>
      </c>
      <c r="F342" s="2">
        <f>IFERROR(__xludf.DUMMYFUNCTION("""COMPUTED_VALUE"""),2443791.0)</f>
        <v>2443791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IFERROR(__xludf.DUMMYFUNCTION("""COMPUTED_VALUE"""),158.05)</f>
        <v>158.05</v>
      </c>
      <c r="C343" s="2">
        <f>IFERROR(__xludf.DUMMYFUNCTION("""COMPUTED_VALUE"""),161.38)</f>
        <v>161.38</v>
      </c>
      <c r="D343" s="2">
        <f>IFERROR(__xludf.DUMMYFUNCTION("""COMPUTED_VALUE"""),157.51)</f>
        <v>157.51</v>
      </c>
      <c r="E343" s="2">
        <f>IFERROR(__xludf.DUMMYFUNCTION("""COMPUTED_VALUE"""),159.79)</f>
        <v>159.79</v>
      </c>
      <c r="F343" s="2">
        <f>IFERROR(__xludf.DUMMYFUNCTION("""COMPUTED_VALUE"""),3180658.0)</f>
        <v>3180658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IFERROR(__xludf.DUMMYFUNCTION("""COMPUTED_VALUE"""),161.0)</f>
        <v>161</v>
      </c>
      <c r="C344" s="2">
        <f>IFERROR(__xludf.DUMMYFUNCTION("""COMPUTED_VALUE"""),162.25)</f>
        <v>162.25</v>
      </c>
      <c r="D344" s="2">
        <f>IFERROR(__xludf.DUMMYFUNCTION("""COMPUTED_VALUE"""),159.35)</f>
        <v>159.35</v>
      </c>
      <c r="E344" s="2">
        <f>IFERROR(__xludf.DUMMYFUNCTION("""COMPUTED_VALUE"""),160.95)</f>
        <v>160.95</v>
      </c>
      <c r="F344" s="2">
        <f>IFERROR(__xludf.DUMMYFUNCTION("""COMPUTED_VALUE"""),2831068.0)</f>
        <v>2831068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IFERROR(__xludf.DUMMYFUNCTION("""COMPUTED_VALUE"""),163.0)</f>
        <v>163</v>
      </c>
      <c r="C345" s="2">
        <f>IFERROR(__xludf.DUMMYFUNCTION("""COMPUTED_VALUE"""),164.86)</f>
        <v>164.86</v>
      </c>
      <c r="D345" s="2">
        <f>IFERROR(__xludf.DUMMYFUNCTION("""COMPUTED_VALUE"""),158.85)</f>
        <v>158.85</v>
      </c>
      <c r="E345" s="2">
        <f>IFERROR(__xludf.DUMMYFUNCTION("""COMPUTED_VALUE"""),164.37)</f>
        <v>164.37</v>
      </c>
      <c r="F345" s="2">
        <f>IFERROR(__xludf.DUMMYFUNCTION("""COMPUTED_VALUE"""),4147204.0)</f>
        <v>4147204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IFERROR(__xludf.DUMMYFUNCTION("""COMPUTED_VALUE"""),163.87)</f>
        <v>163.87</v>
      </c>
      <c r="C346" s="2">
        <f>IFERROR(__xludf.DUMMYFUNCTION("""COMPUTED_VALUE"""),165.88)</f>
        <v>165.88</v>
      </c>
      <c r="D346" s="2">
        <f>IFERROR(__xludf.DUMMYFUNCTION("""COMPUTED_VALUE"""),163.19)</f>
        <v>163.19</v>
      </c>
      <c r="E346" s="2">
        <f>IFERROR(__xludf.DUMMYFUNCTION("""COMPUTED_VALUE"""),165.04)</f>
        <v>165.04</v>
      </c>
      <c r="F346" s="2">
        <f>IFERROR(__xludf.DUMMYFUNCTION("""COMPUTED_VALUE"""),3021504.0)</f>
        <v>3021504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IFERROR(__xludf.DUMMYFUNCTION("""COMPUTED_VALUE"""),163.72)</f>
        <v>163.72</v>
      </c>
      <c r="C347" s="2">
        <f>IFERROR(__xludf.DUMMYFUNCTION("""COMPUTED_VALUE"""),164.42)</f>
        <v>164.42</v>
      </c>
      <c r="D347" s="2">
        <f>IFERROR(__xludf.DUMMYFUNCTION("""COMPUTED_VALUE"""),161.13)</f>
        <v>161.13</v>
      </c>
      <c r="E347" s="2">
        <f>IFERROR(__xludf.DUMMYFUNCTION("""COMPUTED_VALUE"""),161.86)</f>
        <v>161.86</v>
      </c>
      <c r="F347" s="2">
        <f>IFERROR(__xludf.DUMMYFUNCTION("""COMPUTED_VALUE"""),3625310.0)</f>
        <v>3625310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IFERROR(__xludf.DUMMYFUNCTION("""COMPUTED_VALUE"""),163.08)</f>
        <v>163.08</v>
      </c>
      <c r="C348" s="2">
        <f>IFERROR(__xludf.DUMMYFUNCTION("""COMPUTED_VALUE"""),165.35)</f>
        <v>165.35</v>
      </c>
      <c r="D348" s="2">
        <f>IFERROR(__xludf.DUMMYFUNCTION("""COMPUTED_VALUE"""),162.54)</f>
        <v>162.54</v>
      </c>
      <c r="E348" s="2">
        <f>IFERROR(__xludf.DUMMYFUNCTION("""COMPUTED_VALUE"""),164.78)</f>
        <v>164.78</v>
      </c>
      <c r="F348" s="2">
        <f>IFERROR(__xludf.DUMMYFUNCTION("""COMPUTED_VALUE"""),3545117.0)</f>
        <v>3545117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IFERROR(__xludf.DUMMYFUNCTION("""COMPUTED_VALUE"""),163.78)</f>
        <v>163.78</v>
      </c>
      <c r="C349" s="2">
        <f>IFERROR(__xludf.DUMMYFUNCTION("""COMPUTED_VALUE"""),164.33)</f>
        <v>164.33</v>
      </c>
      <c r="D349" s="2">
        <f>IFERROR(__xludf.DUMMYFUNCTION("""COMPUTED_VALUE"""),161.39)</f>
        <v>161.39</v>
      </c>
      <c r="E349" s="2">
        <f>IFERROR(__xludf.DUMMYFUNCTION("""COMPUTED_VALUE"""),162.71)</f>
        <v>162.71</v>
      </c>
      <c r="F349" s="2">
        <f>IFERROR(__xludf.DUMMYFUNCTION("""COMPUTED_VALUE"""),4051344.0)</f>
        <v>4051344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IFERROR(__xludf.DUMMYFUNCTION("""COMPUTED_VALUE"""),163.06)</f>
        <v>163.06</v>
      </c>
      <c r="C350" s="2">
        <f>IFERROR(__xludf.DUMMYFUNCTION("""COMPUTED_VALUE"""),164.84)</f>
        <v>164.84</v>
      </c>
      <c r="D350" s="2">
        <f>IFERROR(__xludf.DUMMYFUNCTION("""COMPUTED_VALUE"""),162.13)</f>
        <v>162.13</v>
      </c>
      <c r="E350" s="2">
        <f>IFERROR(__xludf.DUMMYFUNCTION("""COMPUTED_VALUE"""),163.34)</f>
        <v>163.34</v>
      </c>
      <c r="F350" s="2">
        <f>IFERROR(__xludf.DUMMYFUNCTION("""COMPUTED_VALUE"""),9912492.0)</f>
        <v>9912492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IFERROR(__xludf.DUMMYFUNCTION("""COMPUTED_VALUE"""),168.25)</f>
        <v>168.25</v>
      </c>
      <c r="C351" s="2">
        <f>IFERROR(__xludf.DUMMYFUNCTION("""COMPUTED_VALUE"""),168.8)</f>
        <v>168.8</v>
      </c>
      <c r="D351" s="2">
        <f>IFERROR(__xludf.DUMMYFUNCTION("""COMPUTED_VALUE"""),152.35)</f>
        <v>152.35</v>
      </c>
      <c r="E351" s="2">
        <f>IFERROR(__xludf.DUMMYFUNCTION("""COMPUTED_VALUE"""),154.58)</f>
        <v>154.58</v>
      </c>
      <c r="F351" s="2">
        <f>IFERROR(__xludf.DUMMYFUNCTION("""COMPUTED_VALUE"""),1.9511068E7)</f>
        <v>19511068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IFERROR(__xludf.DUMMYFUNCTION("""COMPUTED_VALUE"""),155.36)</f>
        <v>155.36</v>
      </c>
      <c r="C352" s="2">
        <f>IFERROR(__xludf.DUMMYFUNCTION("""COMPUTED_VALUE"""),159.0)</f>
        <v>159</v>
      </c>
      <c r="D352" s="2">
        <f>IFERROR(__xludf.DUMMYFUNCTION("""COMPUTED_VALUE"""),154.11)</f>
        <v>154.11</v>
      </c>
      <c r="E352" s="2">
        <f>IFERROR(__xludf.DUMMYFUNCTION("""COMPUTED_VALUE"""),156.16)</f>
        <v>156.16</v>
      </c>
      <c r="F352" s="2">
        <f>IFERROR(__xludf.DUMMYFUNCTION("""COMPUTED_VALUE"""),6026313.0)</f>
        <v>6026313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IFERROR(__xludf.DUMMYFUNCTION("""COMPUTED_VALUE"""),156.07)</f>
        <v>156.07</v>
      </c>
      <c r="C353" s="2">
        <f>IFERROR(__xludf.DUMMYFUNCTION("""COMPUTED_VALUE"""),156.47)</f>
        <v>156.47</v>
      </c>
      <c r="D353" s="2">
        <f>IFERROR(__xludf.DUMMYFUNCTION("""COMPUTED_VALUE"""),149.55)</f>
        <v>149.55</v>
      </c>
      <c r="E353" s="2">
        <f>IFERROR(__xludf.DUMMYFUNCTION("""COMPUTED_VALUE"""),150.74)</f>
        <v>150.74</v>
      </c>
      <c r="F353" s="2">
        <f>IFERROR(__xludf.DUMMYFUNCTION("""COMPUTED_VALUE"""),6453661.0)</f>
        <v>6453661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IFERROR(__xludf.DUMMYFUNCTION("""COMPUTED_VALUE"""),148.64)</f>
        <v>148.64</v>
      </c>
      <c r="C354" s="2">
        <f>IFERROR(__xludf.DUMMYFUNCTION("""COMPUTED_VALUE"""),150.0)</f>
        <v>150</v>
      </c>
      <c r="D354" s="2">
        <f>IFERROR(__xludf.DUMMYFUNCTION("""COMPUTED_VALUE"""),147.74)</f>
        <v>147.74</v>
      </c>
      <c r="E354" s="2">
        <f>IFERROR(__xludf.DUMMYFUNCTION("""COMPUTED_VALUE"""),148.19)</f>
        <v>148.19</v>
      </c>
      <c r="F354" s="2">
        <f>IFERROR(__xludf.DUMMYFUNCTION("""COMPUTED_VALUE"""),4880099.0)</f>
        <v>4880099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IFERROR(__xludf.DUMMYFUNCTION("""COMPUTED_VALUE"""),147.0)</f>
        <v>147</v>
      </c>
      <c r="C355" s="2">
        <f>IFERROR(__xludf.DUMMYFUNCTION("""COMPUTED_VALUE"""),147.7)</f>
        <v>147.7</v>
      </c>
      <c r="D355" s="2">
        <f>IFERROR(__xludf.DUMMYFUNCTION("""COMPUTED_VALUE"""),140.23)</f>
        <v>140.23</v>
      </c>
      <c r="E355" s="2">
        <f>IFERROR(__xludf.DUMMYFUNCTION("""COMPUTED_VALUE"""),140.95)</f>
        <v>140.95</v>
      </c>
      <c r="F355" s="2">
        <f>IFERROR(__xludf.DUMMYFUNCTION("""COMPUTED_VALUE"""),9278593.0)</f>
        <v>9278593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IFERROR(__xludf.DUMMYFUNCTION("""COMPUTED_VALUE"""),140.27)</f>
        <v>140.27</v>
      </c>
      <c r="C356" s="2">
        <f>IFERROR(__xludf.DUMMYFUNCTION("""COMPUTED_VALUE"""),142.1)</f>
        <v>142.1</v>
      </c>
      <c r="D356" s="2">
        <f>IFERROR(__xludf.DUMMYFUNCTION("""COMPUTED_VALUE"""),133.59)</f>
        <v>133.59</v>
      </c>
      <c r="E356" s="2">
        <f>IFERROR(__xludf.DUMMYFUNCTION("""COMPUTED_VALUE"""),136.18)</f>
        <v>136.18</v>
      </c>
      <c r="F356" s="2">
        <f>IFERROR(__xludf.DUMMYFUNCTION("""COMPUTED_VALUE"""),1.4049227E7)</f>
        <v>14049227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IFERROR(__xludf.DUMMYFUNCTION("""COMPUTED_VALUE"""),136.85)</f>
        <v>136.85</v>
      </c>
      <c r="C357" s="2">
        <f>IFERROR(__xludf.DUMMYFUNCTION("""COMPUTED_VALUE"""),138.48)</f>
        <v>138.48</v>
      </c>
      <c r="D357" s="2">
        <f>IFERROR(__xludf.DUMMYFUNCTION("""COMPUTED_VALUE"""),135.7)</f>
        <v>135.7</v>
      </c>
      <c r="E357" s="2">
        <f>IFERROR(__xludf.DUMMYFUNCTION("""COMPUTED_VALUE"""),136.93)</f>
        <v>136.93</v>
      </c>
      <c r="F357" s="2">
        <f>IFERROR(__xludf.DUMMYFUNCTION("""COMPUTED_VALUE"""),7549696.0)</f>
        <v>7549696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IFERROR(__xludf.DUMMYFUNCTION("""COMPUTED_VALUE"""),137.2)</f>
        <v>137.2</v>
      </c>
      <c r="C358" s="2">
        <f>IFERROR(__xludf.DUMMYFUNCTION("""COMPUTED_VALUE"""),139.06)</f>
        <v>139.06</v>
      </c>
      <c r="D358" s="2">
        <f>IFERROR(__xludf.DUMMYFUNCTION("""COMPUTED_VALUE"""),135.6)</f>
        <v>135.6</v>
      </c>
      <c r="E358" s="2">
        <f>IFERROR(__xludf.DUMMYFUNCTION("""COMPUTED_VALUE"""),137.0)</f>
        <v>137</v>
      </c>
      <c r="F358" s="2">
        <f>IFERROR(__xludf.DUMMYFUNCTION("""COMPUTED_VALUE"""),7627449.0)</f>
        <v>7627449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IFERROR(__xludf.DUMMYFUNCTION("""COMPUTED_VALUE"""),137.22)</f>
        <v>137.22</v>
      </c>
      <c r="C359" s="2">
        <f>IFERROR(__xludf.DUMMYFUNCTION("""COMPUTED_VALUE"""),137.3)</f>
        <v>137.3</v>
      </c>
      <c r="D359" s="2">
        <f>IFERROR(__xludf.DUMMYFUNCTION("""COMPUTED_VALUE"""),128.41)</f>
        <v>128.41</v>
      </c>
      <c r="E359" s="2">
        <f>IFERROR(__xludf.DUMMYFUNCTION("""COMPUTED_VALUE"""),134.29)</f>
        <v>134.29</v>
      </c>
      <c r="F359" s="2">
        <f>IFERROR(__xludf.DUMMYFUNCTION("""COMPUTED_VALUE"""),1.5919826E7)</f>
        <v>15919826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IFERROR(__xludf.DUMMYFUNCTION("""COMPUTED_VALUE"""),133.94)</f>
        <v>133.94</v>
      </c>
      <c r="C360" s="2">
        <f>IFERROR(__xludf.DUMMYFUNCTION("""COMPUTED_VALUE"""),135.85)</f>
        <v>135.85</v>
      </c>
      <c r="D360" s="2">
        <f>IFERROR(__xludf.DUMMYFUNCTION("""COMPUTED_VALUE"""),131.84)</f>
        <v>131.84</v>
      </c>
      <c r="E360" s="2">
        <f>IFERROR(__xludf.DUMMYFUNCTION("""COMPUTED_VALUE"""),132.04)</f>
        <v>132.04</v>
      </c>
      <c r="F360" s="2">
        <f>IFERROR(__xludf.DUMMYFUNCTION("""COMPUTED_VALUE"""),8261026.0)</f>
        <v>8261026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IFERROR(__xludf.DUMMYFUNCTION("""COMPUTED_VALUE"""),131.06)</f>
        <v>131.06</v>
      </c>
      <c r="C361" s="2">
        <f>IFERROR(__xludf.DUMMYFUNCTION("""COMPUTED_VALUE"""),132.6)</f>
        <v>132.6</v>
      </c>
      <c r="D361" s="2">
        <f>IFERROR(__xludf.DUMMYFUNCTION("""COMPUTED_VALUE"""),130.08)</f>
        <v>130.08</v>
      </c>
      <c r="E361" s="2">
        <f>IFERROR(__xludf.DUMMYFUNCTION("""COMPUTED_VALUE"""),131.21)</f>
        <v>131.21</v>
      </c>
      <c r="F361" s="2">
        <f>IFERROR(__xludf.DUMMYFUNCTION("""COMPUTED_VALUE"""),4355403.0)</f>
        <v>4355403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IFERROR(__xludf.DUMMYFUNCTION("""COMPUTED_VALUE"""),129.53)</f>
        <v>129.53</v>
      </c>
      <c r="C362" s="2">
        <f>IFERROR(__xludf.DUMMYFUNCTION("""COMPUTED_VALUE"""),130.0)</f>
        <v>130</v>
      </c>
      <c r="D362" s="2">
        <f>IFERROR(__xludf.DUMMYFUNCTION("""COMPUTED_VALUE"""),125.89)</f>
        <v>125.89</v>
      </c>
      <c r="E362" s="2">
        <f>IFERROR(__xludf.DUMMYFUNCTION("""COMPUTED_VALUE"""),126.76)</f>
        <v>126.76</v>
      </c>
      <c r="F362" s="2">
        <f>IFERROR(__xludf.DUMMYFUNCTION("""COMPUTED_VALUE"""),1.0827256E7)</f>
        <v>10827256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IFERROR(__xludf.DUMMYFUNCTION("""COMPUTED_VALUE"""),128.75)</f>
        <v>128.75</v>
      </c>
      <c r="C363" s="2">
        <f>IFERROR(__xludf.DUMMYFUNCTION("""COMPUTED_VALUE"""),130.64)</f>
        <v>130.64</v>
      </c>
      <c r="D363" s="2">
        <f>IFERROR(__xludf.DUMMYFUNCTION("""COMPUTED_VALUE"""),127.15)</f>
        <v>127.15</v>
      </c>
      <c r="E363" s="2">
        <f>IFERROR(__xludf.DUMMYFUNCTION("""COMPUTED_VALUE"""),128.48)</f>
        <v>128.48</v>
      </c>
      <c r="F363" s="2">
        <f>IFERROR(__xludf.DUMMYFUNCTION("""COMPUTED_VALUE"""),1.0559383E7)</f>
        <v>10559383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IFERROR(__xludf.DUMMYFUNCTION("""COMPUTED_VALUE"""),130.66)</f>
        <v>130.66</v>
      </c>
      <c r="C364" s="2">
        <f>IFERROR(__xludf.DUMMYFUNCTION("""COMPUTED_VALUE"""),133.38)</f>
        <v>133.38</v>
      </c>
      <c r="D364" s="2">
        <f>IFERROR(__xludf.DUMMYFUNCTION("""COMPUTED_VALUE"""),129.15)</f>
        <v>129.15</v>
      </c>
      <c r="E364" s="2">
        <f>IFERROR(__xludf.DUMMYFUNCTION("""COMPUTED_VALUE"""),130.33)</f>
        <v>130.33</v>
      </c>
      <c r="F364" s="2">
        <f>IFERROR(__xludf.DUMMYFUNCTION("""COMPUTED_VALUE"""),8926949.0)</f>
        <v>8926949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IFERROR(__xludf.DUMMYFUNCTION("""COMPUTED_VALUE"""),129.76)</f>
        <v>129.76</v>
      </c>
      <c r="C365" s="2">
        <f>IFERROR(__xludf.DUMMYFUNCTION("""COMPUTED_VALUE"""),129.91)</f>
        <v>129.91</v>
      </c>
      <c r="D365" s="2">
        <f>IFERROR(__xludf.DUMMYFUNCTION("""COMPUTED_VALUE"""),125.88)</f>
        <v>125.88</v>
      </c>
      <c r="E365" s="2">
        <f>IFERROR(__xludf.DUMMYFUNCTION("""COMPUTED_VALUE"""),125.9)</f>
        <v>125.9</v>
      </c>
      <c r="F365" s="2">
        <f>IFERROR(__xludf.DUMMYFUNCTION("""COMPUTED_VALUE"""),8837915.0)</f>
        <v>8837915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IFERROR(__xludf.DUMMYFUNCTION("""COMPUTED_VALUE"""),126.1)</f>
        <v>126.1</v>
      </c>
      <c r="C366" s="2">
        <f>IFERROR(__xludf.DUMMYFUNCTION("""COMPUTED_VALUE"""),128.89)</f>
        <v>128.89</v>
      </c>
      <c r="D366" s="2">
        <f>IFERROR(__xludf.DUMMYFUNCTION("""COMPUTED_VALUE"""),124.69)</f>
        <v>124.69</v>
      </c>
      <c r="E366" s="2">
        <f>IFERROR(__xludf.DUMMYFUNCTION("""COMPUTED_VALUE"""),127.17)</f>
        <v>127.17</v>
      </c>
      <c r="F366" s="2">
        <f>IFERROR(__xludf.DUMMYFUNCTION("""COMPUTED_VALUE"""),6820093.0)</f>
        <v>6820093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IFERROR(__xludf.DUMMYFUNCTION("""COMPUTED_VALUE"""),126.46)</f>
        <v>126.46</v>
      </c>
      <c r="C367" s="2">
        <f>IFERROR(__xludf.DUMMYFUNCTION("""COMPUTED_VALUE"""),131.79)</f>
        <v>131.79</v>
      </c>
      <c r="D367" s="2">
        <f>IFERROR(__xludf.DUMMYFUNCTION("""COMPUTED_VALUE"""),125.65)</f>
        <v>125.65</v>
      </c>
      <c r="E367" s="2">
        <f>IFERROR(__xludf.DUMMYFUNCTION("""COMPUTED_VALUE"""),130.67)</f>
        <v>130.67</v>
      </c>
      <c r="F367" s="2">
        <f>IFERROR(__xludf.DUMMYFUNCTION("""COMPUTED_VALUE"""),6477642.0)</f>
        <v>6477642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IFERROR(__xludf.DUMMYFUNCTION("""COMPUTED_VALUE"""),130.11)</f>
        <v>130.11</v>
      </c>
      <c r="C368" s="2">
        <f>IFERROR(__xludf.DUMMYFUNCTION("""COMPUTED_VALUE"""),131.14)</f>
        <v>131.14</v>
      </c>
      <c r="D368" s="2">
        <f>IFERROR(__xludf.DUMMYFUNCTION("""COMPUTED_VALUE"""),126.56)</f>
        <v>126.56</v>
      </c>
      <c r="E368" s="2">
        <f>IFERROR(__xludf.DUMMYFUNCTION("""COMPUTED_VALUE"""),127.6)</f>
        <v>127.6</v>
      </c>
      <c r="F368" s="2">
        <f>IFERROR(__xludf.DUMMYFUNCTION("""COMPUTED_VALUE"""),5982688.0)</f>
        <v>5982688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IFERROR(__xludf.DUMMYFUNCTION("""COMPUTED_VALUE"""),127.0)</f>
        <v>127</v>
      </c>
      <c r="C369" s="2">
        <f>IFERROR(__xludf.DUMMYFUNCTION("""COMPUTED_VALUE"""),127.4)</f>
        <v>127.4</v>
      </c>
      <c r="D369" s="2">
        <f>IFERROR(__xludf.DUMMYFUNCTION("""COMPUTED_VALUE"""),125.32)</f>
        <v>125.32</v>
      </c>
      <c r="E369" s="2">
        <f>IFERROR(__xludf.DUMMYFUNCTION("""COMPUTED_VALUE"""),126.62)</f>
        <v>126.62</v>
      </c>
      <c r="F369" s="2">
        <f>IFERROR(__xludf.DUMMYFUNCTION("""COMPUTED_VALUE"""),6156742.0)</f>
        <v>6156742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IFERROR(__xludf.DUMMYFUNCTION("""COMPUTED_VALUE"""),125.68)</f>
        <v>125.68</v>
      </c>
      <c r="C370" s="2">
        <f>IFERROR(__xludf.DUMMYFUNCTION("""COMPUTED_VALUE"""),128.27)</f>
        <v>128.27</v>
      </c>
      <c r="D370" s="2">
        <f>IFERROR(__xludf.DUMMYFUNCTION("""COMPUTED_VALUE"""),124.7)</f>
        <v>124.7</v>
      </c>
      <c r="E370" s="2">
        <f>IFERROR(__xludf.DUMMYFUNCTION("""COMPUTED_VALUE"""),127.8)</f>
        <v>127.8</v>
      </c>
      <c r="F370" s="2">
        <f>IFERROR(__xludf.DUMMYFUNCTION("""COMPUTED_VALUE"""),1.3046976E7)</f>
        <v>13046976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IFERROR(__xludf.DUMMYFUNCTION("""COMPUTED_VALUE"""),126.69)</f>
        <v>126.69</v>
      </c>
      <c r="C371" s="2">
        <f>IFERROR(__xludf.DUMMYFUNCTION("""COMPUTED_VALUE"""),126.98)</f>
        <v>126.98</v>
      </c>
      <c r="D371" s="2">
        <f>IFERROR(__xludf.DUMMYFUNCTION("""COMPUTED_VALUE"""),124.4)</f>
        <v>124.4</v>
      </c>
      <c r="E371" s="2">
        <f>IFERROR(__xludf.DUMMYFUNCTION("""COMPUTED_VALUE"""),124.8)</f>
        <v>124.8</v>
      </c>
      <c r="F371" s="2">
        <f>IFERROR(__xludf.DUMMYFUNCTION("""COMPUTED_VALUE"""),6863383.0)</f>
        <v>6863383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IFERROR(__xludf.DUMMYFUNCTION("""COMPUTED_VALUE"""),125.0)</f>
        <v>125</v>
      </c>
      <c r="C372" s="2">
        <f>IFERROR(__xludf.DUMMYFUNCTION("""COMPUTED_VALUE"""),125.8)</f>
        <v>125.8</v>
      </c>
      <c r="D372" s="2">
        <f>IFERROR(__xludf.DUMMYFUNCTION("""COMPUTED_VALUE"""),122.6)</f>
        <v>122.6</v>
      </c>
      <c r="E372" s="2">
        <f>IFERROR(__xludf.DUMMYFUNCTION("""COMPUTED_VALUE"""),124.21)</f>
        <v>124.21</v>
      </c>
      <c r="F372" s="2">
        <f>IFERROR(__xludf.DUMMYFUNCTION("""COMPUTED_VALUE"""),9696437.0)</f>
        <v>9696437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IFERROR(__xludf.DUMMYFUNCTION("""COMPUTED_VALUE"""),123.68)</f>
        <v>123.68</v>
      </c>
      <c r="C373" s="2">
        <f>IFERROR(__xludf.DUMMYFUNCTION("""COMPUTED_VALUE"""),130.82)</f>
        <v>130.82</v>
      </c>
      <c r="D373" s="2">
        <f>IFERROR(__xludf.DUMMYFUNCTION("""COMPUTED_VALUE"""),122.68)</f>
        <v>122.68</v>
      </c>
      <c r="E373" s="2">
        <f>IFERROR(__xludf.DUMMYFUNCTION("""COMPUTED_VALUE"""),129.13)</f>
        <v>129.13</v>
      </c>
      <c r="F373" s="2">
        <f>IFERROR(__xludf.DUMMYFUNCTION("""COMPUTED_VALUE"""),1.0888456E7)</f>
        <v>10888456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IFERROR(__xludf.DUMMYFUNCTION("""COMPUTED_VALUE"""),129.13)</f>
        <v>129.13</v>
      </c>
      <c r="C374" s="2">
        <f>IFERROR(__xludf.DUMMYFUNCTION("""COMPUTED_VALUE"""),134.64)</f>
        <v>134.64</v>
      </c>
      <c r="D374" s="2">
        <f>IFERROR(__xludf.DUMMYFUNCTION("""COMPUTED_VALUE"""),128.68)</f>
        <v>128.68</v>
      </c>
      <c r="E374" s="2">
        <f>IFERROR(__xludf.DUMMYFUNCTION("""COMPUTED_VALUE"""),133.92)</f>
        <v>133.92</v>
      </c>
      <c r="F374" s="2">
        <f>IFERROR(__xludf.DUMMYFUNCTION("""COMPUTED_VALUE"""),8488889.0)</f>
        <v>8488889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IFERROR(__xludf.DUMMYFUNCTION("""COMPUTED_VALUE"""),133.55)</f>
        <v>133.55</v>
      </c>
      <c r="C375" s="2">
        <f>IFERROR(__xludf.DUMMYFUNCTION("""COMPUTED_VALUE"""),135.73)</f>
        <v>135.73</v>
      </c>
      <c r="D375" s="2">
        <f>IFERROR(__xludf.DUMMYFUNCTION("""COMPUTED_VALUE"""),133.55)</f>
        <v>133.55</v>
      </c>
      <c r="E375" s="2">
        <f>IFERROR(__xludf.DUMMYFUNCTION("""COMPUTED_VALUE"""),135.09)</f>
        <v>135.09</v>
      </c>
      <c r="F375" s="2">
        <f>IFERROR(__xludf.DUMMYFUNCTION("""COMPUTED_VALUE"""),8129297.0)</f>
        <v>8129297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IFERROR(__xludf.DUMMYFUNCTION("""COMPUTED_VALUE"""),138.32)</f>
        <v>138.32</v>
      </c>
      <c r="C376" s="2">
        <f>IFERROR(__xludf.DUMMYFUNCTION("""COMPUTED_VALUE"""),142.97)</f>
        <v>142.97</v>
      </c>
      <c r="D376" s="2">
        <f>IFERROR(__xludf.DUMMYFUNCTION("""COMPUTED_VALUE"""),135.73)</f>
        <v>135.73</v>
      </c>
      <c r="E376" s="2">
        <f>IFERROR(__xludf.DUMMYFUNCTION("""COMPUTED_VALUE"""),142.77)</f>
        <v>142.77</v>
      </c>
      <c r="F376" s="2">
        <f>IFERROR(__xludf.DUMMYFUNCTION("""COMPUTED_VALUE"""),9889092.0)</f>
        <v>9889092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IFERROR(__xludf.DUMMYFUNCTION("""COMPUTED_VALUE"""),142.66)</f>
        <v>142.66</v>
      </c>
      <c r="C377" s="2">
        <f>IFERROR(__xludf.DUMMYFUNCTION("""COMPUTED_VALUE"""),144.68)</f>
        <v>144.68</v>
      </c>
      <c r="D377" s="2">
        <f>IFERROR(__xludf.DUMMYFUNCTION("""COMPUTED_VALUE"""),140.7)</f>
        <v>140.7</v>
      </c>
      <c r="E377" s="2">
        <f>IFERROR(__xludf.DUMMYFUNCTION("""COMPUTED_VALUE"""),141.92)</f>
        <v>141.92</v>
      </c>
      <c r="F377" s="2">
        <f>IFERROR(__xludf.DUMMYFUNCTION("""COMPUTED_VALUE"""),6648560.0)</f>
        <v>6648560</v>
      </c>
    </row>
    <row r="378">
      <c r="A378" s="3">
        <f>IFERROR(__xludf.DUMMYFUNCTION("""COMPUTED_VALUE"""),45476.54166666667)</f>
        <v>45476.54167</v>
      </c>
      <c r="B378" s="2">
        <f>IFERROR(__xludf.DUMMYFUNCTION("""COMPUTED_VALUE"""),141.96)</f>
        <v>141.96</v>
      </c>
      <c r="C378" s="2">
        <f>IFERROR(__xludf.DUMMYFUNCTION("""COMPUTED_VALUE"""),143.72)</f>
        <v>143.72</v>
      </c>
      <c r="D378" s="2">
        <f>IFERROR(__xludf.DUMMYFUNCTION("""COMPUTED_VALUE"""),140.71)</f>
        <v>140.71</v>
      </c>
      <c r="E378" s="2">
        <f>IFERROR(__xludf.DUMMYFUNCTION("""COMPUTED_VALUE"""),142.86)</f>
        <v>142.86</v>
      </c>
      <c r="F378" s="2">
        <f>IFERROR(__xludf.DUMMYFUNCTION("""COMPUTED_VALUE"""),3290913.0)</f>
        <v>3290913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IFERROR(__xludf.DUMMYFUNCTION("""COMPUTED_VALUE"""),142.98)</f>
        <v>142.98</v>
      </c>
      <c r="C379" s="2">
        <f>IFERROR(__xludf.DUMMYFUNCTION("""COMPUTED_VALUE"""),146.46)</f>
        <v>146.46</v>
      </c>
      <c r="D379" s="2">
        <f>IFERROR(__xludf.DUMMYFUNCTION("""COMPUTED_VALUE"""),142.61)</f>
        <v>142.61</v>
      </c>
      <c r="E379" s="2">
        <f>IFERROR(__xludf.DUMMYFUNCTION("""COMPUTED_VALUE"""),143.02)</f>
        <v>143.02</v>
      </c>
      <c r="F379" s="2">
        <f>IFERROR(__xludf.DUMMYFUNCTION("""COMPUTED_VALUE"""),6164583.0)</f>
        <v>6164583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IFERROR(__xludf.DUMMYFUNCTION("""COMPUTED_VALUE"""),143.31)</f>
        <v>143.31</v>
      </c>
      <c r="C380" s="2">
        <f>IFERROR(__xludf.DUMMYFUNCTION("""COMPUTED_VALUE"""),143.44)</f>
        <v>143.44</v>
      </c>
      <c r="D380" s="2">
        <f>IFERROR(__xludf.DUMMYFUNCTION("""COMPUTED_VALUE"""),140.89)</f>
        <v>140.89</v>
      </c>
      <c r="E380" s="2">
        <f>IFERROR(__xludf.DUMMYFUNCTION("""COMPUTED_VALUE"""),141.57)</f>
        <v>141.57</v>
      </c>
      <c r="F380" s="2">
        <f>IFERROR(__xludf.DUMMYFUNCTION("""COMPUTED_VALUE"""),4480577.0)</f>
        <v>4480577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IFERROR(__xludf.DUMMYFUNCTION("""COMPUTED_VALUE"""),140.37)</f>
        <v>140.37</v>
      </c>
      <c r="C381" s="2">
        <f>IFERROR(__xludf.DUMMYFUNCTION("""COMPUTED_VALUE"""),141.36)</f>
        <v>141.36</v>
      </c>
      <c r="D381" s="2">
        <f>IFERROR(__xludf.DUMMYFUNCTION("""COMPUTED_VALUE"""),136.26)</f>
        <v>136.26</v>
      </c>
      <c r="E381" s="2">
        <f>IFERROR(__xludf.DUMMYFUNCTION("""COMPUTED_VALUE"""),137.46)</f>
        <v>137.46</v>
      </c>
      <c r="F381" s="2">
        <f>IFERROR(__xludf.DUMMYFUNCTION("""COMPUTED_VALUE"""),6558042.0)</f>
        <v>6558042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IFERROR(__xludf.DUMMYFUNCTION("""COMPUTED_VALUE"""),137.46)</f>
        <v>137.46</v>
      </c>
      <c r="C382" s="2">
        <f>IFERROR(__xludf.DUMMYFUNCTION("""COMPUTED_VALUE"""),137.98)</f>
        <v>137.98</v>
      </c>
      <c r="D382" s="2">
        <f>IFERROR(__xludf.DUMMYFUNCTION("""COMPUTED_VALUE"""),133.17)</f>
        <v>133.17</v>
      </c>
      <c r="E382" s="2">
        <f>IFERROR(__xludf.DUMMYFUNCTION("""COMPUTED_VALUE"""),137.5)</f>
        <v>137.5</v>
      </c>
      <c r="F382" s="2">
        <f>IFERROR(__xludf.DUMMYFUNCTION("""COMPUTED_VALUE"""),5835329.0)</f>
        <v>5835329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IFERROR(__xludf.DUMMYFUNCTION("""COMPUTED_VALUE"""),139.0)</f>
        <v>139</v>
      </c>
      <c r="C383" s="2">
        <f>IFERROR(__xludf.DUMMYFUNCTION("""COMPUTED_VALUE"""),142.1)</f>
        <v>142.1</v>
      </c>
      <c r="D383" s="2">
        <f>IFERROR(__xludf.DUMMYFUNCTION("""COMPUTED_VALUE"""),136.34)</f>
        <v>136.34</v>
      </c>
      <c r="E383" s="2">
        <f>IFERROR(__xludf.DUMMYFUNCTION("""COMPUTED_VALUE"""),138.18)</f>
        <v>138.18</v>
      </c>
      <c r="F383" s="2">
        <f>IFERROR(__xludf.DUMMYFUNCTION("""COMPUTED_VALUE"""),5994093.0)</f>
        <v>5994093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IFERROR(__xludf.DUMMYFUNCTION("""COMPUTED_VALUE"""),133.95)</f>
        <v>133.95</v>
      </c>
      <c r="C384" s="2">
        <f>IFERROR(__xludf.DUMMYFUNCTION("""COMPUTED_VALUE"""),137.46)</f>
        <v>137.46</v>
      </c>
      <c r="D384" s="2">
        <f>IFERROR(__xludf.DUMMYFUNCTION("""COMPUTED_VALUE"""),132.2)</f>
        <v>132.2</v>
      </c>
      <c r="E384" s="2">
        <f>IFERROR(__xludf.DUMMYFUNCTION("""COMPUTED_VALUE"""),135.75)</f>
        <v>135.75</v>
      </c>
      <c r="F384" s="2">
        <f>IFERROR(__xludf.DUMMYFUNCTION("""COMPUTED_VALUE"""),8103603.0)</f>
        <v>8103603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IFERROR(__xludf.DUMMYFUNCTION("""COMPUTED_VALUE"""),135.92)</f>
        <v>135.92</v>
      </c>
      <c r="C385" s="2">
        <f>IFERROR(__xludf.DUMMYFUNCTION("""COMPUTED_VALUE"""),136.33)</f>
        <v>136.33</v>
      </c>
      <c r="D385" s="2">
        <f>IFERROR(__xludf.DUMMYFUNCTION("""COMPUTED_VALUE"""),132.8)</f>
        <v>132.8</v>
      </c>
      <c r="E385" s="2">
        <f>IFERROR(__xludf.DUMMYFUNCTION("""COMPUTED_VALUE"""),133.72)</f>
        <v>133.72</v>
      </c>
      <c r="F385" s="2">
        <f>IFERROR(__xludf.DUMMYFUNCTION("""COMPUTED_VALUE"""),5533571.0)</f>
        <v>5533571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IFERROR(__xludf.DUMMYFUNCTION("""COMPUTED_VALUE"""),135.0)</f>
        <v>135</v>
      </c>
      <c r="C386" s="2">
        <f>IFERROR(__xludf.DUMMYFUNCTION("""COMPUTED_VALUE"""),138.14)</f>
        <v>138.14</v>
      </c>
      <c r="D386" s="2">
        <f>IFERROR(__xludf.DUMMYFUNCTION("""COMPUTED_VALUE"""),134.47)</f>
        <v>134.47</v>
      </c>
      <c r="E386" s="2">
        <f>IFERROR(__xludf.DUMMYFUNCTION("""COMPUTED_VALUE"""),136.21)</f>
        <v>136.21</v>
      </c>
      <c r="F386" s="2">
        <f>IFERROR(__xludf.DUMMYFUNCTION("""COMPUTED_VALUE"""),3704706.0)</f>
        <v>3704706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IFERROR(__xludf.DUMMYFUNCTION("""COMPUTED_VALUE"""),134.0)</f>
        <v>134</v>
      </c>
      <c r="C387" s="2">
        <f>IFERROR(__xludf.DUMMYFUNCTION("""COMPUTED_VALUE"""),138.4)</f>
        <v>138.4</v>
      </c>
      <c r="D387" s="2">
        <f>IFERROR(__xludf.DUMMYFUNCTION("""COMPUTED_VALUE"""),133.26)</f>
        <v>133.26</v>
      </c>
      <c r="E387" s="2">
        <f>IFERROR(__xludf.DUMMYFUNCTION("""COMPUTED_VALUE"""),135.1)</f>
        <v>135.1</v>
      </c>
      <c r="F387" s="2">
        <f>IFERROR(__xludf.DUMMYFUNCTION("""COMPUTED_VALUE"""),6156168.0)</f>
        <v>6156168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IFERROR(__xludf.DUMMYFUNCTION("""COMPUTED_VALUE"""),135.03)</f>
        <v>135.03</v>
      </c>
      <c r="C388" s="2">
        <f>IFERROR(__xludf.DUMMYFUNCTION("""COMPUTED_VALUE"""),136.68)</f>
        <v>136.68</v>
      </c>
      <c r="D388" s="2">
        <f>IFERROR(__xludf.DUMMYFUNCTION("""COMPUTED_VALUE"""),129.75)</f>
        <v>129.75</v>
      </c>
      <c r="E388" s="2">
        <f>IFERROR(__xludf.DUMMYFUNCTION("""COMPUTED_VALUE"""),129.84)</f>
        <v>129.84</v>
      </c>
      <c r="F388" s="2">
        <f>IFERROR(__xludf.DUMMYFUNCTION("""COMPUTED_VALUE"""),3869943.0)</f>
        <v>3869943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IFERROR(__xludf.DUMMYFUNCTION("""COMPUTED_VALUE"""),129.83)</f>
        <v>129.83</v>
      </c>
      <c r="C389" s="2">
        <f>IFERROR(__xludf.DUMMYFUNCTION("""COMPUTED_VALUE"""),130.88)</f>
        <v>130.88</v>
      </c>
      <c r="D389" s="2">
        <f>IFERROR(__xludf.DUMMYFUNCTION("""COMPUTED_VALUE"""),128.87)</f>
        <v>128.87</v>
      </c>
      <c r="E389" s="2">
        <f>IFERROR(__xludf.DUMMYFUNCTION("""COMPUTED_VALUE"""),129.85)</f>
        <v>129.85</v>
      </c>
      <c r="F389" s="2">
        <f>IFERROR(__xludf.DUMMYFUNCTION("""COMPUTED_VALUE"""),3411236.0)</f>
        <v>3411236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IFERROR(__xludf.DUMMYFUNCTION("""COMPUTED_VALUE"""),130.69)</f>
        <v>130.69</v>
      </c>
      <c r="C390" s="2">
        <f>IFERROR(__xludf.DUMMYFUNCTION("""COMPUTED_VALUE"""),132.65)</f>
        <v>132.65</v>
      </c>
      <c r="D390" s="2">
        <f>IFERROR(__xludf.DUMMYFUNCTION("""COMPUTED_VALUE"""),129.62)</f>
        <v>129.62</v>
      </c>
      <c r="E390" s="2">
        <f>IFERROR(__xludf.DUMMYFUNCTION("""COMPUTED_VALUE"""),131.15)</f>
        <v>131.15</v>
      </c>
      <c r="F390" s="2">
        <f>IFERROR(__xludf.DUMMYFUNCTION("""COMPUTED_VALUE"""),3802078.0)</f>
        <v>3802078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IFERROR(__xludf.DUMMYFUNCTION("""COMPUTED_VALUE"""),131.25)</f>
        <v>131.25</v>
      </c>
      <c r="C391" s="2">
        <f>IFERROR(__xludf.DUMMYFUNCTION("""COMPUTED_VALUE"""),134.17)</f>
        <v>134.17</v>
      </c>
      <c r="D391" s="2">
        <f>IFERROR(__xludf.DUMMYFUNCTION("""COMPUTED_VALUE"""),130.38)</f>
        <v>130.38</v>
      </c>
      <c r="E391" s="2">
        <f>IFERROR(__xludf.DUMMYFUNCTION("""COMPUTED_VALUE"""),132.6)</f>
        <v>132.6</v>
      </c>
      <c r="F391" s="2">
        <f>IFERROR(__xludf.DUMMYFUNCTION("""COMPUTED_VALUE"""),3254229.0)</f>
        <v>3254229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IFERROR(__xludf.DUMMYFUNCTION("""COMPUTED_VALUE"""),131.0)</f>
        <v>131</v>
      </c>
      <c r="C392" s="2">
        <f>IFERROR(__xludf.DUMMYFUNCTION("""COMPUTED_VALUE"""),131.81)</f>
        <v>131.81</v>
      </c>
      <c r="D392" s="2">
        <f>IFERROR(__xludf.DUMMYFUNCTION("""COMPUTED_VALUE"""),125.54)</f>
        <v>125.54</v>
      </c>
      <c r="E392" s="2">
        <f>IFERROR(__xludf.DUMMYFUNCTION("""COMPUTED_VALUE"""),125.62)</f>
        <v>125.62</v>
      </c>
      <c r="F392" s="2">
        <f>IFERROR(__xludf.DUMMYFUNCTION("""COMPUTED_VALUE"""),6000734.0)</f>
        <v>6000734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IFERROR(__xludf.DUMMYFUNCTION("""COMPUTED_VALUE"""),126.27)</f>
        <v>126.27</v>
      </c>
      <c r="C393" s="2">
        <f>IFERROR(__xludf.DUMMYFUNCTION("""COMPUTED_VALUE"""),132.99)</f>
        <v>132.99</v>
      </c>
      <c r="D393" s="2">
        <f>IFERROR(__xludf.DUMMYFUNCTION("""COMPUTED_VALUE"""),125.5)</f>
        <v>125.5</v>
      </c>
      <c r="E393" s="2">
        <f>IFERROR(__xludf.DUMMYFUNCTION("""COMPUTED_VALUE"""),129.59)</f>
        <v>129.59</v>
      </c>
      <c r="F393" s="2">
        <f>IFERROR(__xludf.DUMMYFUNCTION("""COMPUTED_VALUE"""),5349140.0)</f>
        <v>5349140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IFERROR(__xludf.DUMMYFUNCTION("""COMPUTED_VALUE"""),130.53)</f>
        <v>130.53</v>
      </c>
      <c r="C394" s="2">
        <f>IFERROR(__xludf.DUMMYFUNCTION("""COMPUTED_VALUE"""),131.38)</f>
        <v>131.38</v>
      </c>
      <c r="D394" s="2">
        <f>IFERROR(__xludf.DUMMYFUNCTION("""COMPUTED_VALUE"""),128.04)</f>
        <v>128.04</v>
      </c>
      <c r="E394" s="2">
        <f>IFERROR(__xludf.DUMMYFUNCTION("""COMPUTED_VALUE"""),129.0)</f>
        <v>129</v>
      </c>
      <c r="F394" s="2">
        <f>IFERROR(__xludf.DUMMYFUNCTION("""COMPUTED_VALUE"""),3377909.0)</f>
        <v>3377909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IFERROR(__xludf.DUMMYFUNCTION("""COMPUTED_VALUE"""),130.0)</f>
        <v>130</v>
      </c>
      <c r="C395" s="2">
        <f>IFERROR(__xludf.DUMMYFUNCTION("""COMPUTED_VALUE"""),130.57)</f>
        <v>130.57</v>
      </c>
      <c r="D395" s="2">
        <f>IFERROR(__xludf.DUMMYFUNCTION("""COMPUTED_VALUE"""),128.4)</f>
        <v>128.4</v>
      </c>
      <c r="E395" s="2">
        <f>IFERROR(__xludf.DUMMYFUNCTION("""COMPUTED_VALUE"""),129.57)</f>
        <v>129.57</v>
      </c>
      <c r="F395" s="2">
        <f>IFERROR(__xludf.DUMMYFUNCTION("""COMPUTED_VALUE"""),3955310.0)</f>
        <v>3955310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IFERROR(__xludf.DUMMYFUNCTION("""COMPUTED_VALUE"""),128.54)</f>
        <v>128.54</v>
      </c>
      <c r="C396" s="2">
        <f>IFERROR(__xludf.DUMMYFUNCTION("""COMPUTED_VALUE"""),131.41)</f>
        <v>131.41</v>
      </c>
      <c r="D396" s="2">
        <f>IFERROR(__xludf.DUMMYFUNCTION("""COMPUTED_VALUE"""),126.68)</f>
        <v>126.68</v>
      </c>
      <c r="E396" s="2">
        <f>IFERROR(__xludf.DUMMYFUNCTION("""COMPUTED_VALUE"""),128.88)</f>
        <v>128.88</v>
      </c>
      <c r="F396" s="2">
        <f>IFERROR(__xludf.DUMMYFUNCTION("""COMPUTED_VALUE"""),6475340.0)</f>
        <v>6475340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IFERROR(__xludf.DUMMYFUNCTION("""COMPUTED_VALUE"""),129.35)</f>
        <v>129.35</v>
      </c>
      <c r="C397" s="2">
        <f>IFERROR(__xludf.DUMMYFUNCTION("""COMPUTED_VALUE"""),132.55)</f>
        <v>132.55</v>
      </c>
      <c r="D397" s="2">
        <f>IFERROR(__xludf.DUMMYFUNCTION("""COMPUTED_VALUE"""),128.77)</f>
        <v>128.77</v>
      </c>
      <c r="E397" s="2">
        <f>IFERROR(__xludf.DUMMYFUNCTION("""COMPUTED_VALUE"""),130.38)</f>
        <v>130.38</v>
      </c>
      <c r="F397" s="2">
        <f>IFERROR(__xludf.DUMMYFUNCTION("""COMPUTED_VALUE"""),5498317.0)</f>
        <v>5498317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IFERROR(__xludf.DUMMYFUNCTION("""COMPUTED_VALUE"""),129.4)</f>
        <v>129.4</v>
      </c>
      <c r="C398" s="2">
        <f>IFERROR(__xludf.DUMMYFUNCTION("""COMPUTED_VALUE"""),129.79)</f>
        <v>129.79</v>
      </c>
      <c r="D398" s="2">
        <f>IFERROR(__xludf.DUMMYFUNCTION("""COMPUTED_VALUE"""),121.45)</f>
        <v>121.45</v>
      </c>
      <c r="E398" s="2">
        <f>IFERROR(__xludf.DUMMYFUNCTION("""COMPUTED_VALUE"""),124.2)</f>
        <v>124.2</v>
      </c>
      <c r="F398" s="2">
        <f>IFERROR(__xludf.DUMMYFUNCTION("""COMPUTED_VALUE"""),7684768.0)</f>
        <v>7684768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IFERROR(__xludf.DUMMYFUNCTION("""COMPUTED_VALUE"""),120.9)</f>
        <v>120.9</v>
      </c>
      <c r="C399" s="2">
        <f>IFERROR(__xludf.DUMMYFUNCTION("""COMPUTED_VALUE"""),121.65)</f>
        <v>121.65</v>
      </c>
      <c r="D399" s="2">
        <f>IFERROR(__xludf.DUMMYFUNCTION("""COMPUTED_VALUE"""),116.89)</f>
        <v>116.89</v>
      </c>
      <c r="E399" s="2">
        <f>IFERROR(__xludf.DUMMYFUNCTION("""COMPUTED_VALUE"""),119.77)</f>
        <v>119.77</v>
      </c>
      <c r="F399" s="2">
        <f>IFERROR(__xludf.DUMMYFUNCTION("""COMPUTED_VALUE"""),8260332.0)</f>
        <v>8260332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IFERROR(__xludf.DUMMYFUNCTION("""COMPUTED_VALUE"""),107.93)</f>
        <v>107.93</v>
      </c>
      <c r="C400" s="2">
        <f>IFERROR(__xludf.DUMMYFUNCTION("""COMPUTED_VALUE"""),115.71)</f>
        <v>115.71</v>
      </c>
      <c r="D400" s="2">
        <f>IFERROR(__xludf.DUMMYFUNCTION("""COMPUTED_VALUE"""),107.93)</f>
        <v>107.93</v>
      </c>
      <c r="E400" s="2">
        <f>IFERROR(__xludf.DUMMYFUNCTION("""COMPUTED_VALUE"""),112.63)</f>
        <v>112.63</v>
      </c>
      <c r="F400" s="2">
        <f>IFERROR(__xludf.DUMMYFUNCTION("""COMPUTED_VALUE"""),6874151.0)</f>
        <v>6874151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IFERROR(__xludf.DUMMYFUNCTION("""COMPUTED_VALUE"""),114.64)</f>
        <v>114.64</v>
      </c>
      <c r="C401" s="2">
        <f>IFERROR(__xludf.DUMMYFUNCTION("""COMPUTED_VALUE"""),117.32)</f>
        <v>117.32</v>
      </c>
      <c r="D401" s="2">
        <f>IFERROR(__xludf.DUMMYFUNCTION("""COMPUTED_VALUE"""),113.33)</f>
        <v>113.33</v>
      </c>
      <c r="E401" s="2">
        <f>IFERROR(__xludf.DUMMYFUNCTION("""COMPUTED_VALUE"""),114.82)</f>
        <v>114.82</v>
      </c>
      <c r="F401" s="2">
        <f>IFERROR(__xludf.DUMMYFUNCTION("""COMPUTED_VALUE"""),5342579.0)</f>
        <v>5342579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IFERROR(__xludf.DUMMYFUNCTION("""COMPUTED_VALUE"""),117.51)</f>
        <v>117.51</v>
      </c>
      <c r="C402" s="2">
        <f>IFERROR(__xludf.DUMMYFUNCTION("""COMPUTED_VALUE"""),121.53)</f>
        <v>121.53</v>
      </c>
      <c r="D402" s="2">
        <f>IFERROR(__xludf.DUMMYFUNCTION("""COMPUTED_VALUE"""),115.05)</f>
        <v>115.05</v>
      </c>
      <c r="E402" s="2">
        <f>IFERROR(__xludf.DUMMYFUNCTION("""COMPUTED_VALUE"""),115.1)</f>
        <v>115.1</v>
      </c>
      <c r="F402" s="2">
        <f>IFERROR(__xludf.DUMMYFUNCTION("""COMPUTED_VALUE"""),5616914.0)</f>
        <v>5616914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IFERROR(__xludf.DUMMYFUNCTION("""COMPUTED_VALUE"""),118.05)</f>
        <v>118.05</v>
      </c>
      <c r="C403" s="2">
        <f>IFERROR(__xludf.DUMMYFUNCTION("""COMPUTED_VALUE"""),122.06)</f>
        <v>122.06</v>
      </c>
      <c r="D403" s="2">
        <f>IFERROR(__xludf.DUMMYFUNCTION("""COMPUTED_VALUE"""),117.28)</f>
        <v>117.28</v>
      </c>
      <c r="E403" s="2">
        <f>IFERROR(__xludf.DUMMYFUNCTION("""COMPUTED_VALUE"""),121.6)</f>
        <v>121.6</v>
      </c>
      <c r="F403" s="2">
        <f>IFERROR(__xludf.DUMMYFUNCTION("""COMPUTED_VALUE"""),4556413.0)</f>
        <v>4556413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IFERROR(__xludf.DUMMYFUNCTION("""COMPUTED_VALUE"""),121.06)</f>
        <v>121.06</v>
      </c>
      <c r="C404" s="2">
        <f>IFERROR(__xludf.DUMMYFUNCTION("""COMPUTED_VALUE"""),124.63)</f>
        <v>124.63</v>
      </c>
      <c r="D404" s="2">
        <f>IFERROR(__xludf.DUMMYFUNCTION("""COMPUTED_VALUE"""),120.47)</f>
        <v>120.47</v>
      </c>
      <c r="E404" s="2">
        <f>IFERROR(__xludf.DUMMYFUNCTION("""COMPUTED_VALUE"""),124.41)</f>
        <v>124.41</v>
      </c>
      <c r="F404" s="2">
        <f>IFERROR(__xludf.DUMMYFUNCTION("""COMPUTED_VALUE"""),3685865.0)</f>
        <v>3685865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IFERROR(__xludf.DUMMYFUNCTION("""COMPUTED_VALUE"""),125.29)</f>
        <v>125.29</v>
      </c>
      <c r="C405" s="2">
        <f>IFERROR(__xludf.DUMMYFUNCTION("""COMPUTED_VALUE"""),126.19)</f>
        <v>126.19</v>
      </c>
      <c r="D405" s="2">
        <f>IFERROR(__xludf.DUMMYFUNCTION("""COMPUTED_VALUE"""),121.95)</f>
        <v>121.95</v>
      </c>
      <c r="E405" s="2">
        <f>IFERROR(__xludf.DUMMYFUNCTION("""COMPUTED_VALUE"""),123.03)</f>
        <v>123.03</v>
      </c>
      <c r="F405" s="2">
        <f>IFERROR(__xludf.DUMMYFUNCTION("""COMPUTED_VALUE"""),2662605.0)</f>
        <v>2662605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IFERROR(__xludf.DUMMYFUNCTION("""COMPUTED_VALUE"""),123.27)</f>
        <v>123.27</v>
      </c>
      <c r="C406" s="2">
        <f>IFERROR(__xludf.DUMMYFUNCTION("""COMPUTED_VALUE"""),127.77)</f>
        <v>127.77</v>
      </c>
      <c r="D406" s="2">
        <f>IFERROR(__xludf.DUMMYFUNCTION("""COMPUTED_VALUE"""),122.85)</f>
        <v>122.85</v>
      </c>
      <c r="E406" s="2">
        <f>IFERROR(__xludf.DUMMYFUNCTION("""COMPUTED_VALUE"""),127.06)</f>
        <v>127.06</v>
      </c>
      <c r="F406" s="2">
        <f>IFERROR(__xludf.DUMMYFUNCTION("""COMPUTED_VALUE"""),3797623.0)</f>
        <v>3797623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IFERROR(__xludf.DUMMYFUNCTION("""COMPUTED_VALUE"""),127.56)</f>
        <v>127.56</v>
      </c>
      <c r="C407" s="2">
        <f>IFERROR(__xludf.DUMMYFUNCTION("""COMPUTED_VALUE"""),128.11)</f>
        <v>128.11</v>
      </c>
      <c r="D407" s="2">
        <f>IFERROR(__xludf.DUMMYFUNCTION("""COMPUTED_VALUE"""),125.19)</f>
        <v>125.19</v>
      </c>
      <c r="E407" s="2">
        <f>IFERROR(__xludf.DUMMYFUNCTION("""COMPUTED_VALUE"""),127.3)</f>
        <v>127.3</v>
      </c>
      <c r="F407" s="2">
        <f>IFERROR(__xludf.DUMMYFUNCTION("""COMPUTED_VALUE"""),3289028.0)</f>
        <v>3289028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IFERROR(__xludf.DUMMYFUNCTION("""COMPUTED_VALUE"""),124.0)</f>
        <v>124</v>
      </c>
      <c r="C408" s="2">
        <f>IFERROR(__xludf.DUMMYFUNCTION("""COMPUTED_VALUE"""),128.66)</f>
        <v>128.66</v>
      </c>
      <c r="D408" s="2">
        <f>IFERROR(__xludf.DUMMYFUNCTION("""COMPUTED_VALUE"""),123.99)</f>
        <v>123.99</v>
      </c>
      <c r="E408" s="2">
        <f>IFERROR(__xludf.DUMMYFUNCTION("""COMPUTED_VALUE"""),127.05)</f>
        <v>127.05</v>
      </c>
      <c r="F408" s="2">
        <f>IFERROR(__xludf.DUMMYFUNCTION("""COMPUTED_VALUE"""),8167942.0)</f>
        <v>8167942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IFERROR(__xludf.DUMMYFUNCTION("""COMPUTED_VALUE"""),125.0)</f>
        <v>125</v>
      </c>
      <c r="C409" s="2">
        <f>IFERROR(__xludf.DUMMYFUNCTION("""COMPUTED_VALUE"""),128.64)</f>
        <v>128.64</v>
      </c>
      <c r="D409" s="2">
        <f>IFERROR(__xludf.DUMMYFUNCTION("""COMPUTED_VALUE"""),124.73)</f>
        <v>124.73</v>
      </c>
      <c r="E409" s="2">
        <f>IFERROR(__xludf.DUMMYFUNCTION("""COMPUTED_VALUE"""),128.04)</f>
        <v>128.04</v>
      </c>
      <c r="F409" s="2">
        <f>IFERROR(__xludf.DUMMYFUNCTION("""COMPUTED_VALUE"""),6261926.0)</f>
        <v>6261926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IFERROR(__xludf.DUMMYFUNCTION("""COMPUTED_VALUE"""),128.56)</f>
        <v>128.56</v>
      </c>
      <c r="C410" s="2">
        <f>IFERROR(__xludf.DUMMYFUNCTION("""COMPUTED_VALUE"""),132.66)</f>
        <v>132.66</v>
      </c>
      <c r="D410" s="2">
        <f>IFERROR(__xludf.DUMMYFUNCTION("""COMPUTED_VALUE"""),128.25)</f>
        <v>128.25</v>
      </c>
      <c r="E410" s="2">
        <f>IFERROR(__xludf.DUMMYFUNCTION("""COMPUTED_VALUE"""),131.42)</f>
        <v>131.42</v>
      </c>
      <c r="F410" s="2">
        <f>IFERROR(__xludf.DUMMYFUNCTION("""COMPUTED_VALUE"""),5326410.0)</f>
        <v>5326410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IFERROR(__xludf.DUMMYFUNCTION("""COMPUTED_VALUE"""),131.43)</f>
        <v>131.43</v>
      </c>
      <c r="C411" s="2">
        <f>IFERROR(__xludf.DUMMYFUNCTION("""COMPUTED_VALUE"""),133.67)</f>
        <v>133.67</v>
      </c>
      <c r="D411" s="2">
        <f>IFERROR(__xludf.DUMMYFUNCTION("""COMPUTED_VALUE"""),130.76)</f>
        <v>130.76</v>
      </c>
      <c r="E411" s="2">
        <f>IFERROR(__xludf.DUMMYFUNCTION("""COMPUTED_VALUE"""),131.92)</f>
        <v>131.92</v>
      </c>
      <c r="F411" s="2">
        <f>IFERROR(__xludf.DUMMYFUNCTION("""COMPUTED_VALUE"""),4929412.0)</f>
        <v>4929412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IFERROR(__xludf.DUMMYFUNCTION("""COMPUTED_VALUE"""),132.76)</f>
        <v>132.76</v>
      </c>
      <c r="C412" s="2">
        <f>IFERROR(__xludf.DUMMYFUNCTION("""COMPUTED_VALUE"""),135.72)</f>
        <v>135.72</v>
      </c>
      <c r="D412" s="2">
        <f>IFERROR(__xludf.DUMMYFUNCTION("""COMPUTED_VALUE"""),130.66)</f>
        <v>130.66</v>
      </c>
      <c r="E412" s="2">
        <f>IFERROR(__xludf.DUMMYFUNCTION("""COMPUTED_VALUE"""),135.06)</f>
        <v>135.06</v>
      </c>
      <c r="F412" s="2">
        <f>IFERROR(__xludf.DUMMYFUNCTION("""COMPUTED_VALUE"""),1.6442974E7)</f>
        <v>16442974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IFERROR(__xludf.DUMMYFUNCTION("""COMPUTED_VALUE"""),122.1)</f>
        <v>122.1</v>
      </c>
      <c r="C413" s="2">
        <f>IFERROR(__xludf.DUMMYFUNCTION("""COMPUTED_VALUE"""),123.98)</f>
        <v>123.98</v>
      </c>
      <c r="D413" s="2">
        <f>IFERROR(__xludf.DUMMYFUNCTION("""COMPUTED_VALUE"""),115.14)</f>
        <v>115.14</v>
      </c>
      <c r="E413" s="2">
        <f>IFERROR(__xludf.DUMMYFUNCTION("""COMPUTED_VALUE"""),115.21)</f>
        <v>115.21</v>
      </c>
      <c r="F413" s="2">
        <f>IFERROR(__xludf.DUMMYFUNCTION("""COMPUTED_VALUE"""),3.7236875E7)</f>
        <v>37236875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IFERROR(__xludf.DUMMYFUNCTION("""COMPUTED_VALUE"""),117.13)</f>
        <v>117.13</v>
      </c>
      <c r="C414" s="2">
        <f>IFERROR(__xludf.DUMMYFUNCTION("""COMPUTED_VALUE"""),117.3)</f>
        <v>117.3</v>
      </c>
      <c r="D414" s="2">
        <f>IFERROR(__xludf.DUMMYFUNCTION("""COMPUTED_VALUE"""),113.24)</f>
        <v>113.24</v>
      </c>
      <c r="E414" s="2">
        <f>IFERROR(__xludf.DUMMYFUNCTION("""COMPUTED_VALUE"""),115.86)</f>
        <v>115.86</v>
      </c>
      <c r="F414" s="2">
        <f>IFERROR(__xludf.DUMMYFUNCTION("""COMPUTED_VALUE"""),1.6772605E7)</f>
        <v>16772605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IFERROR(__xludf.DUMMYFUNCTION("""COMPUTED_VALUE"""),115.05)</f>
        <v>115.05</v>
      </c>
      <c r="C415" s="2">
        <f>IFERROR(__xludf.DUMMYFUNCTION("""COMPUTED_VALUE"""),120.03)</f>
        <v>120.03</v>
      </c>
      <c r="D415" s="2">
        <f>IFERROR(__xludf.DUMMYFUNCTION("""COMPUTED_VALUE"""),114.85)</f>
        <v>114.85</v>
      </c>
      <c r="E415" s="2">
        <f>IFERROR(__xludf.DUMMYFUNCTION("""COMPUTED_VALUE"""),118.0)</f>
        <v>118</v>
      </c>
      <c r="F415" s="2">
        <f>IFERROR(__xludf.DUMMYFUNCTION("""COMPUTED_VALUE"""),1.2690117E7)</f>
        <v>12690117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IFERROR(__xludf.DUMMYFUNCTION("""COMPUTED_VALUE"""),117.83)</f>
        <v>117.83</v>
      </c>
      <c r="C416" s="2">
        <f>IFERROR(__xludf.DUMMYFUNCTION("""COMPUTED_VALUE"""),118.98)</f>
        <v>118.98</v>
      </c>
      <c r="D416" s="2">
        <f>IFERROR(__xludf.DUMMYFUNCTION("""COMPUTED_VALUE"""),115.32)</f>
        <v>115.32</v>
      </c>
      <c r="E416" s="2">
        <f>IFERROR(__xludf.DUMMYFUNCTION("""COMPUTED_VALUE"""),115.54)</f>
        <v>115.54</v>
      </c>
      <c r="F416" s="2">
        <f>IFERROR(__xludf.DUMMYFUNCTION("""COMPUTED_VALUE"""),6461841.0)</f>
        <v>6461841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IFERROR(__xludf.DUMMYFUNCTION("""COMPUTED_VALUE"""),114.93)</f>
        <v>114.93</v>
      </c>
      <c r="C417" s="2">
        <f>IFERROR(__xludf.DUMMYFUNCTION("""COMPUTED_VALUE"""),115.68)</f>
        <v>115.68</v>
      </c>
      <c r="D417" s="2">
        <f>IFERROR(__xludf.DUMMYFUNCTION("""COMPUTED_VALUE"""),110.26)</f>
        <v>110.26</v>
      </c>
      <c r="E417" s="2">
        <f>IFERROR(__xludf.DUMMYFUNCTION("""COMPUTED_VALUE"""),111.56)</f>
        <v>111.56</v>
      </c>
      <c r="F417" s="2">
        <f>IFERROR(__xludf.DUMMYFUNCTION("""COMPUTED_VALUE"""),7769874.0)</f>
        <v>7769874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IFERROR(__xludf.DUMMYFUNCTION("""COMPUTED_VALUE"""),112.45)</f>
        <v>112.45</v>
      </c>
      <c r="C418" s="2">
        <f>IFERROR(__xludf.DUMMYFUNCTION("""COMPUTED_VALUE"""),117.08)</f>
        <v>117.08</v>
      </c>
      <c r="D418" s="2">
        <f>IFERROR(__xludf.DUMMYFUNCTION("""COMPUTED_VALUE"""),112.45)</f>
        <v>112.45</v>
      </c>
      <c r="E418" s="2">
        <f>IFERROR(__xludf.DUMMYFUNCTION("""COMPUTED_VALUE"""),114.14)</f>
        <v>114.14</v>
      </c>
      <c r="F418" s="2">
        <f>IFERROR(__xludf.DUMMYFUNCTION("""COMPUTED_VALUE"""),6871398.0)</f>
        <v>6871398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IFERROR(__xludf.DUMMYFUNCTION("""COMPUTED_VALUE"""),115.38)</f>
        <v>115.38</v>
      </c>
      <c r="C419" s="2">
        <f>IFERROR(__xludf.DUMMYFUNCTION("""COMPUTED_VALUE"""),115.92)</f>
        <v>115.92</v>
      </c>
      <c r="D419" s="2">
        <f>IFERROR(__xludf.DUMMYFUNCTION("""COMPUTED_VALUE"""),112.53)</f>
        <v>112.53</v>
      </c>
      <c r="E419" s="2">
        <f>IFERROR(__xludf.DUMMYFUNCTION("""COMPUTED_VALUE"""),114.23)</f>
        <v>114.23</v>
      </c>
      <c r="F419" s="2">
        <f>IFERROR(__xludf.DUMMYFUNCTION("""COMPUTED_VALUE"""),5217236.0)</f>
        <v>5217236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IFERROR(__xludf.DUMMYFUNCTION("""COMPUTED_VALUE"""),113.06)</f>
        <v>113.06</v>
      </c>
      <c r="C420" s="2">
        <f>IFERROR(__xludf.DUMMYFUNCTION("""COMPUTED_VALUE"""),114.73)</f>
        <v>114.73</v>
      </c>
      <c r="D420" s="2">
        <f>IFERROR(__xludf.DUMMYFUNCTION("""COMPUTED_VALUE"""),109.37)</f>
        <v>109.37</v>
      </c>
      <c r="E420" s="2">
        <f>IFERROR(__xludf.DUMMYFUNCTION("""COMPUTED_VALUE"""),110.41)</f>
        <v>110.41</v>
      </c>
      <c r="F420" s="2">
        <f>IFERROR(__xludf.DUMMYFUNCTION("""COMPUTED_VALUE"""),6277547.0)</f>
        <v>6277547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IFERROR(__xludf.DUMMYFUNCTION("""COMPUTED_VALUE"""),110.0)</f>
        <v>110</v>
      </c>
      <c r="C421" s="2">
        <f>IFERROR(__xludf.DUMMYFUNCTION("""COMPUTED_VALUE"""),112.87)</f>
        <v>112.87</v>
      </c>
      <c r="D421" s="2">
        <f>IFERROR(__xludf.DUMMYFUNCTION("""COMPUTED_VALUE"""),109.4)</f>
        <v>109.4</v>
      </c>
      <c r="E421" s="2">
        <f>IFERROR(__xludf.DUMMYFUNCTION("""COMPUTED_VALUE"""),110.8)</f>
        <v>110.8</v>
      </c>
      <c r="F421" s="2">
        <f>IFERROR(__xludf.DUMMYFUNCTION("""COMPUTED_VALUE"""),3727650.0)</f>
        <v>3727650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IFERROR(__xludf.DUMMYFUNCTION("""COMPUTED_VALUE"""),110.04)</f>
        <v>110.04</v>
      </c>
      <c r="C422" s="2">
        <f>IFERROR(__xludf.DUMMYFUNCTION("""COMPUTED_VALUE"""),113.79)</f>
        <v>113.79</v>
      </c>
      <c r="D422" s="2">
        <f>IFERROR(__xludf.DUMMYFUNCTION("""COMPUTED_VALUE"""),110.0)</f>
        <v>110</v>
      </c>
      <c r="E422" s="2">
        <f>IFERROR(__xludf.DUMMYFUNCTION("""COMPUTED_VALUE"""),111.75)</f>
        <v>111.75</v>
      </c>
      <c r="F422" s="2">
        <f>IFERROR(__xludf.DUMMYFUNCTION("""COMPUTED_VALUE"""),3891499.0)</f>
        <v>3891499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IFERROR(__xludf.DUMMYFUNCTION("""COMPUTED_VALUE"""),112.28)</f>
        <v>112.28</v>
      </c>
      <c r="C423" s="2">
        <f>IFERROR(__xludf.DUMMYFUNCTION("""COMPUTED_VALUE"""),112.66)</f>
        <v>112.66</v>
      </c>
      <c r="D423" s="2">
        <f>IFERROR(__xludf.DUMMYFUNCTION("""COMPUTED_VALUE"""),107.13)</f>
        <v>107.13</v>
      </c>
      <c r="E423" s="2">
        <f>IFERROR(__xludf.DUMMYFUNCTION("""COMPUTED_VALUE"""),108.56)</f>
        <v>108.56</v>
      </c>
      <c r="F423" s="2">
        <f>IFERROR(__xludf.DUMMYFUNCTION("""COMPUTED_VALUE"""),5651714.0)</f>
        <v>5651714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IFERROR(__xludf.DUMMYFUNCTION("""COMPUTED_VALUE"""),109.32)</f>
        <v>109.32</v>
      </c>
      <c r="C424" s="2">
        <f>IFERROR(__xludf.DUMMYFUNCTION("""COMPUTED_VALUE"""),111.49)</f>
        <v>111.49</v>
      </c>
      <c r="D424" s="2">
        <f>IFERROR(__xludf.DUMMYFUNCTION("""COMPUTED_VALUE"""),108.64)</f>
        <v>108.64</v>
      </c>
      <c r="E424" s="2">
        <f>IFERROR(__xludf.DUMMYFUNCTION("""COMPUTED_VALUE"""),109.96)</f>
        <v>109.96</v>
      </c>
      <c r="F424" s="2">
        <f>IFERROR(__xludf.DUMMYFUNCTION("""COMPUTED_VALUE"""),3674555.0)</f>
        <v>3674555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IFERROR(__xludf.DUMMYFUNCTION("""COMPUTED_VALUE"""),109.96)</f>
        <v>109.96</v>
      </c>
      <c r="C425" s="2">
        <f>IFERROR(__xludf.DUMMYFUNCTION("""COMPUTED_VALUE"""),110.76)</f>
        <v>110.76</v>
      </c>
      <c r="D425" s="2">
        <f>IFERROR(__xludf.DUMMYFUNCTION("""COMPUTED_VALUE"""),108.13)</f>
        <v>108.13</v>
      </c>
      <c r="E425" s="2">
        <f>IFERROR(__xludf.DUMMYFUNCTION("""COMPUTED_VALUE"""),110.27)</f>
        <v>110.27</v>
      </c>
      <c r="F425" s="2">
        <f>IFERROR(__xludf.DUMMYFUNCTION("""COMPUTED_VALUE"""),3380125.0)</f>
        <v>3380125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IFERROR(__xludf.DUMMYFUNCTION("""COMPUTED_VALUE"""),110.27)</f>
        <v>110.27</v>
      </c>
      <c r="C426" s="2">
        <f>IFERROR(__xludf.DUMMYFUNCTION("""COMPUTED_VALUE"""),112.31)</f>
        <v>112.31</v>
      </c>
      <c r="D426" s="2">
        <f>IFERROR(__xludf.DUMMYFUNCTION("""COMPUTED_VALUE"""),108.86)</f>
        <v>108.86</v>
      </c>
      <c r="E426" s="2">
        <f>IFERROR(__xludf.DUMMYFUNCTION("""COMPUTED_VALUE"""),112.0)</f>
        <v>112</v>
      </c>
      <c r="F426" s="2">
        <f>IFERROR(__xludf.DUMMYFUNCTION("""COMPUTED_VALUE"""),4000917.0)</f>
        <v>4000917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IFERROR(__xludf.DUMMYFUNCTION("""COMPUTED_VALUE"""),112.6)</f>
        <v>112.6</v>
      </c>
      <c r="C427" s="2">
        <f>IFERROR(__xludf.DUMMYFUNCTION("""COMPUTED_VALUE"""),114.73)</f>
        <v>114.73</v>
      </c>
      <c r="D427" s="2">
        <f>IFERROR(__xludf.DUMMYFUNCTION("""COMPUTED_VALUE"""),111.35)</f>
        <v>111.35</v>
      </c>
      <c r="E427" s="2">
        <f>IFERROR(__xludf.DUMMYFUNCTION("""COMPUTED_VALUE"""),112.99)</f>
        <v>112.99</v>
      </c>
      <c r="F427" s="2">
        <f>IFERROR(__xludf.DUMMYFUNCTION("""COMPUTED_VALUE"""),4706131.0)</f>
        <v>4706131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IFERROR(__xludf.DUMMYFUNCTION("""COMPUTED_VALUE"""),113.25)</f>
        <v>113.25</v>
      </c>
      <c r="C428" s="2">
        <f>IFERROR(__xludf.DUMMYFUNCTION("""COMPUTED_VALUE"""),115.04)</f>
        <v>115.04</v>
      </c>
      <c r="D428" s="2">
        <f>IFERROR(__xludf.DUMMYFUNCTION("""COMPUTED_VALUE"""),112.9)</f>
        <v>112.9</v>
      </c>
      <c r="E428" s="2">
        <f>IFERROR(__xludf.DUMMYFUNCTION("""COMPUTED_VALUE"""),113.67)</f>
        <v>113.67</v>
      </c>
      <c r="F428" s="2">
        <f>IFERROR(__xludf.DUMMYFUNCTION("""COMPUTED_VALUE"""),3235558.0)</f>
        <v>3235558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IFERROR(__xludf.DUMMYFUNCTION("""COMPUTED_VALUE"""),112.36)</f>
        <v>112.36</v>
      </c>
      <c r="C429" s="2">
        <f>IFERROR(__xludf.DUMMYFUNCTION("""COMPUTED_VALUE"""),113.84)</f>
        <v>113.84</v>
      </c>
      <c r="D429" s="2">
        <f>IFERROR(__xludf.DUMMYFUNCTION("""COMPUTED_VALUE"""),111.21)</f>
        <v>111.21</v>
      </c>
      <c r="E429" s="2">
        <f>IFERROR(__xludf.DUMMYFUNCTION("""COMPUTED_VALUE"""),112.84)</f>
        <v>112.84</v>
      </c>
      <c r="F429" s="2">
        <f>IFERROR(__xludf.DUMMYFUNCTION("""COMPUTED_VALUE"""),5435254.0)</f>
        <v>5435254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IFERROR(__xludf.DUMMYFUNCTION("""COMPUTED_VALUE"""),114.08)</f>
        <v>114.08</v>
      </c>
      <c r="C430" s="2">
        <f>IFERROR(__xludf.DUMMYFUNCTION("""COMPUTED_VALUE"""),114.39)</f>
        <v>114.39</v>
      </c>
      <c r="D430" s="2">
        <f>IFERROR(__xludf.DUMMYFUNCTION("""COMPUTED_VALUE"""),111.28)</f>
        <v>111.28</v>
      </c>
      <c r="E430" s="2">
        <f>IFERROR(__xludf.DUMMYFUNCTION("""COMPUTED_VALUE"""),111.63)</f>
        <v>111.63</v>
      </c>
      <c r="F430" s="2">
        <f>IFERROR(__xludf.DUMMYFUNCTION("""COMPUTED_VALUE"""),4539470.0)</f>
        <v>4539470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IFERROR(__xludf.DUMMYFUNCTION("""COMPUTED_VALUE"""),111.53)</f>
        <v>111.53</v>
      </c>
      <c r="C431" s="2">
        <f>IFERROR(__xludf.DUMMYFUNCTION("""COMPUTED_VALUE"""),112.61)</f>
        <v>112.61</v>
      </c>
      <c r="D431" s="2">
        <f>IFERROR(__xludf.DUMMYFUNCTION("""COMPUTED_VALUE"""),110.13)</f>
        <v>110.13</v>
      </c>
      <c r="E431" s="2">
        <f>IFERROR(__xludf.DUMMYFUNCTION("""COMPUTED_VALUE"""),110.78)</f>
        <v>110.78</v>
      </c>
      <c r="F431" s="2">
        <f>IFERROR(__xludf.DUMMYFUNCTION("""COMPUTED_VALUE"""),6484140.0)</f>
        <v>6484140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IFERROR(__xludf.DUMMYFUNCTION("""COMPUTED_VALUE"""),112.91)</f>
        <v>112.91</v>
      </c>
      <c r="C432" s="2">
        <f>IFERROR(__xludf.DUMMYFUNCTION("""COMPUTED_VALUE"""),115.01)</f>
        <v>115.01</v>
      </c>
      <c r="D432" s="2">
        <f>IFERROR(__xludf.DUMMYFUNCTION("""COMPUTED_VALUE"""),111.66)</f>
        <v>111.66</v>
      </c>
      <c r="E432" s="2">
        <f>IFERROR(__xludf.DUMMYFUNCTION("""COMPUTED_VALUE"""),114.02)</f>
        <v>114.02</v>
      </c>
      <c r="F432" s="2">
        <f>IFERROR(__xludf.DUMMYFUNCTION("""COMPUTED_VALUE"""),8518077.0)</f>
        <v>8518077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IFERROR(__xludf.DUMMYFUNCTION("""COMPUTED_VALUE"""),113.28)</f>
        <v>113.28</v>
      </c>
      <c r="C433" s="2">
        <f>IFERROR(__xludf.DUMMYFUNCTION("""COMPUTED_VALUE"""),113.59)</f>
        <v>113.59</v>
      </c>
      <c r="D433" s="2">
        <f>IFERROR(__xludf.DUMMYFUNCTION("""COMPUTED_VALUE"""),109.34)</f>
        <v>109.34</v>
      </c>
      <c r="E433" s="2">
        <f>IFERROR(__xludf.DUMMYFUNCTION("""COMPUTED_VALUE"""),110.27)</f>
        <v>110.27</v>
      </c>
      <c r="F433" s="2">
        <f>IFERROR(__xludf.DUMMYFUNCTION("""COMPUTED_VALUE"""),2.0222034E7)</f>
        <v>20222034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IFERROR(__xludf.DUMMYFUNCTION("""COMPUTED_VALUE"""),111.41)</f>
        <v>111.41</v>
      </c>
      <c r="C434" s="2">
        <f>IFERROR(__xludf.DUMMYFUNCTION("""COMPUTED_VALUE"""),113.94)</f>
        <v>113.94</v>
      </c>
      <c r="D434" s="2">
        <f>IFERROR(__xludf.DUMMYFUNCTION("""COMPUTED_VALUE"""),109.91)</f>
        <v>109.91</v>
      </c>
      <c r="E434" s="2">
        <f>IFERROR(__xludf.DUMMYFUNCTION("""COMPUTED_VALUE"""),113.26)</f>
        <v>113.26</v>
      </c>
      <c r="F434" s="2">
        <f>IFERROR(__xludf.DUMMYFUNCTION("""COMPUTED_VALUE"""),8335834.0)</f>
        <v>8335834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IFERROR(__xludf.DUMMYFUNCTION("""COMPUTED_VALUE"""),112.15)</f>
        <v>112.15</v>
      </c>
      <c r="C435" s="2">
        <f>IFERROR(__xludf.DUMMYFUNCTION("""COMPUTED_VALUE"""),112.94)</f>
        <v>112.94</v>
      </c>
      <c r="D435" s="2">
        <f>IFERROR(__xludf.DUMMYFUNCTION("""COMPUTED_VALUE"""),109.89)</f>
        <v>109.89</v>
      </c>
      <c r="E435" s="2">
        <f>IFERROR(__xludf.DUMMYFUNCTION("""COMPUTED_VALUE"""),112.5)</f>
        <v>112.5</v>
      </c>
      <c r="F435" s="2">
        <f>IFERROR(__xludf.DUMMYFUNCTION("""COMPUTED_VALUE"""),9271885.0)</f>
        <v>9271885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IFERROR(__xludf.DUMMYFUNCTION("""COMPUTED_VALUE"""),114.97)</f>
        <v>114.97</v>
      </c>
      <c r="C436" s="2">
        <f>IFERROR(__xludf.DUMMYFUNCTION("""COMPUTED_VALUE"""),116.62)</f>
        <v>116.62</v>
      </c>
      <c r="D436" s="2">
        <f>IFERROR(__xludf.DUMMYFUNCTION("""COMPUTED_VALUE"""),112.56)</f>
        <v>112.56</v>
      </c>
      <c r="E436" s="2">
        <f>IFERROR(__xludf.DUMMYFUNCTION("""COMPUTED_VALUE"""),112.62)</f>
        <v>112.62</v>
      </c>
      <c r="F436" s="2">
        <f>IFERROR(__xludf.DUMMYFUNCTION("""COMPUTED_VALUE"""),1.8611867E7)</f>
        <v>18611867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IFERROR(__xludf.DUMMYFUNCTION("""COMPUTED_VALUE"""),114.88)</f>
        <v>114.88</v>
      </c>
      <c r="C437" s="2">
        <f>IFERROR(__xludf.DUMMYFUNCTION("""COMPUTED_VALUE"""),115.28)</f>
        <v>115.28</v>
      </c>
      <c r="D437" s="2">
        <f>IFERROR(__xludf.DUMMYFUNCTION("""COMPUTED_VALUE"""),110.01)</f>
        <v>110.01</v>
      </c>
      <c r="E437" s="2">
        <f>IFERROR(__xludf.DUMMYFUNCTION("""COMPUTED_VALUE"""),112.49)</f>
        <v>112.49</v>
      </c>
      <c r="F437" s="2">
        <f>IFERROR(__xludf.DUMMYFUNCTION("""COMPUTED_VALUE"""),8431145.0)</f>
        <v>8431145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IFERROR(__xludf.DUMMYFUNCTION("""COMPUTED_VALUE"""),113.93)</f>
        <v>113.93</v>
      </c>
      <c r="C438" s="2">
        <f>IFERROR(__xludf.DUMMYFUNCTION("""COMPUTED_VALUE"""),115.39)</f>
        <v>115.39</v>
      </c>
      <c r="D438" s="2">
        <f>IFERROR(__xludf.DUMMYFUNCTION("""COMPUTED_VALUE"""),113.21)</f>
        <v>113.21</v>
      </c>
      <c r="E438" s="2">
        <f>IFERROR(__xludf.DUMMYFUNCTION("""COMPUTED_VALUE"""),113.92)</f>
        <v>113.92</v>
      </c>
      <c r="F438" s="2">
        <f>IFERROR(__xludf.DUMMYFUNCTION("""COMPUTED_VALUE"""),7123315.0)</f>
        <v>7123315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IFERROR(__xludf.DUMMYFUNCTION("""COMPUTED_VALUE"""),113.3)</f>
        <v>113.3</v>
      </c>
      <c r="C439" s="2">
        <f>IFERROR(__xludf.DUMMYFUNCTION("""COMPUTED_VALUE"""),116.08)</f>
        <v>116.08</v>
      </c>
      <c r="D439" s="2">
        <f>IFERROR(__xludf.DUMMYFUNCTION("""COMPUTED_VALUE"""),112.9)</f>
        <v>112.9</v>
      </c>
      <c r="E439" s="2">
        <f>IFERROR(__xludf.DUMMYFUNCTION("""COMPUTED_VALUE"""),114.86)</f>
        <v>114.86</v>
      </c>
      <c r="F439" s="2">
        <f>IFERROR(__xludf.DUMMYFUNCTION("""COMPUTED_VALUE"""),7936351.0)</f>
        <v>7936351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IFERROR(__xludf.DUMMYFUNCTION("""COMPUTED_VALUE"""),113.76)</f>
        <v>113.76</v>
      </c>
      <c r="C440" s="2">
        <f>IFERROR(__xludf.DUMMYFUNCTION("""COMPUTED_VALUE"""),114.71)</f>
        <v>114.71</v>
      </c>
      <c r="D440" s="2">
        <f>IFERROR(__xludf.DUMMYFUNCTION("""COMPUTED_VALUE"""),109.71)</f>
        <v>109.71</v>
      </c>
      <c r="E440" s="2">
        <f>IFERROR(__xludf.DUMMYFUNCTION("""COMPUTED_VALUE"""),110.23)</f>
        <v>110.23</v>
      </c>
      <c r="F440" s="2">
        <f>IFERROR(__xludf.DUMMYFUNCTION("""COMPUTED_VALUE"""),7087817.0)</f>
        <v>7087817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IFERROR(__xludf.DUMMYFUNCTION("""COMPUTED_VALUE"""),109.96)</f>
        <v>109.96</v>
      </c>
      <c r="C441" s="2">
        <f>IFERROR(__xludf.DUMMYFUNCTION("""COMPUTED_VALUE"""),111.38)</f>
        <v>111.38</v>
      </c>
      <c r="D441" s="2">
        <f>IFERROR(__xludf.DUMMYFUNCTION("""COMPUTED_VALUE"""),109.16)</f>
        <v>109.16</v>
      </c>
      <c r="E441" s="2">
        <f>IFERROR(__xludf.DUMMYFUNCTION("""COMPUTED_VALUE"""),109.65)</f>
        <v>109.65</v>
      </c>
      <c r="F441" s="2">
        <f>IFERROR(__xludf.DUMMYFUNCTION("""COMPUTED_VALUE"""),5396703.0)</f>
        <v>5396703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IFERROR(__xludf.DUMMYFUNCTION("""COMPUTED_VALUE"""),109.0)</f>
        <v>109</v>
      </c>
      <c r="C442" s="2">
        <f>IFERROR(__xludf.DUMMYFUNCTION("""COMPUTED_VALUE"""),110.81)</f>
        <v>110.81</v>
      </c>
      <c r="D442" s="2">
        <f>IFERROR(__xludf.DUMMYFUNCTION("""COMPUTED_VALUE"""),108.71)</f>
        <v>108.71</v>
      </c>
      <c r="E442" s="2">
        <f>IFERROR(__xludf.DUMMYFUNCTION("""COMPUTED_VALUE"""),110.47)</f>
        <v>110.47</v>
      </c>
      <c r="F442" s="2">
        <f>IFERROR(__xludf.DUMMYFUNCTION("""COMPUTED_VALUE"""),4122448.0)</f>
        <v>4122448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IFERROR(__xludf.DUMMYFUNCTION("""COMPUTED_VALUE"""),112.01)</f>
        <v>112.01</v>
      </c>
      <c r="C443" s="2">
        <f>IFERROR(__xludf.DUMMYFUNCTION("""COMPUTED_VALUE"""),115.69)</f>
        <v>115.69</v>
      </c>
      <c r="D443" s="2">
        <f>IFERROR(__xludf.DUMMYFUNCTION("""COMPUTED_VALUE"""),111.15)</f>
        <v>111.15</v>
      </c>
      <c r="E443" s="2">
        <f>IFERROR(__xludf.DUMMYFUNCTION("""COMPUTED_VALUE"""),114.72)</f>
        <v>114.72</v>
      </c>
      <c r="F443" s="2">
        <f>IFERROR(__xludf.DUMMYFUNCTION("""COMPUTED_VALUE"""),6289612.0)</f>
        <v>6289612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IFERROR(__xludf.DUMMYFUNCTION("""COMPUTED_VALUE"""),114.42)</f>
        <v>114.42</v>
      </c>
      <c r="C444" s="2">
        <f>IFERROR(__xludf.DUMMYFUNCTION("""COMPUTED_VALUE"""),115.21)</f>
        <v>115.21</v>
      </c>
      <c r="D444" s="2">
        <f>IFERROR(__xludf.DUMMYFUNCTION("""COMPUTED_VALUE"""),113.06)</f>
        <v>113.06</v>
      </c>
      <c r="E444" s="2">
        <f>IFERROR(__xludf.DUMMYFUNCTION("""COMPUTED_VALUE"""),113.82)</f>
        <v>113.82</v>
      </c>
      <c r="F444" s="2">
        <f>IFERROR(__xludf.DUMMYFUNCTION("""COMPUTED_VALUE"""),4186437.0)</f>
        <v>4186437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IFERROR(__xludf.DUMMYFUNCTION("""COMPUTED_VALUE"""),113.77)</f>
        <v>113.77</v>
      </c>
      <c r="C445" s="2">
        <f>IFERROR(__xludf.DUMMYFUNCTION("""COMPUTED_VALUE"""),115.02)</f>
        <v>115.02</v>
      </c>
      <c r="D445" s="2">
        <f>IFERROR(__xludf.DUMMYFUNCTION("""COMPUTED_VALUE"""),113.13)</f>
        <v>113.13</v>
      </c>
      <c r="E445" s="2">
        <f>IFERROR(__xludf.DUMMYFUNCTION("""COMPUTED_VALUE"""),113.52)</f>
        <v>113.52</v>
      </c>
      <c r="F445" s="2">
        <f>IFERROR(__xludf.DUMMYFUNCTION("""COMPUTED_VALUE"""),3289937.0)</f>
        <v>3289937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IFERROR(__xludf.DUMMYFUNCTION("""COMPUTED_VALUE"""),114.32)</f>
        <v>114.32</v>
      </c>
      <c r="C446" s="2">
        <f>IFERROR(__xludf.DUMMYFUNCTION("""COMPUTED_VALUE"""),119.86)</f>
        <v>119.86</v>
      </c>
      <c r="D446" s="2">
        <f>IFERROR(__xludf.DUMMYFUNCTION("""COMPUTED_VALUE"""),113.85)</f>
        <v>113.85</v>
      </c>
      <c r="E446" s="2">
        <f>IFERROR(__xludf.DUMMYFUNCTION("""COMPUTED_VALUE"""),119.67)</f>
        <v>119.67</v>
      </c>
      <c r="F446" s="2">
        <f>IFERROR(__xludf.DUMMYFUNCTION("""COMPUTED_VALUE"""),8812299.0)</f>
        <v>8812299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IFERROR(__xludf.DUMMYFUNCTION("""COMPUTED_VALUE"""),119.48)</f>
        <v>119.48</v>
      </c>
      <c r="C447" s="2">
        <f>IFERROR(__xludf.DUMMYFUNCTION("""COMPUTED_VALUE"""),123.87)</f>
        <v>123.87</v>
      </c>
      <c r="D447" s="2">
        <f>IFERROR(__xludf.DUMMYFUNCTION("""COMPUTED_VALUE"""),119.15)</f>
        <v>119.15</v>
      </c>
      <c r="E447" s="2">
        <f>IFERROR(__xludf.DUMMYFUNCTION("""COMPUTED_VALUE"""),123.79)</f>
        <v>123.79</v>
      </c>
      <c r="F447" s="2">
        <f>IFERROR(__xludf.DUMMYFUNCTION("""COMPUTED_VALUE"""),8831497.0)</f>
        <v>8831497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IFERROR(__xludf.DUMMYFUNCTION("""COMPUTED_VALUE"""),123.57)</f>
        <v>123.57</v>
      </c>
      <c r="C448" s="2">
        <f>IFERROR(__xludf.DUMMYFUNCTION("""COMPUTED_VALUE"""),126.99)</f>
        <v>126.99</v>
      </c>
      <c r="D448" s="2">
        <f>IFERROR(__xludf.DUMMYFUNCTION("""COMPUTED_VALUE"""),122.89)</f>
        <v>122.89</v>
      </c>
      <c r="E448" s="2">
        <f>IFERROR(__xludf.DUMMYFUNCTION("""COMPUTED_VALUE"""),124.03)</f>
        <v>124.03</v>
      </c>
      <c r="F448" s="2">
        <f>IFERROR(__xludf.DUMMYFUNCTION("""COMPUTED_VALUE"""),6703174.0)</f>
        <v>6703174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IFERROR(__xludf.DUMMYFUNCTION("""COMPUTED_VALUE"""),125.42)</f>
        <v>125.42</v>
      </c>
      <c r="C449" s="2">
        <f>IFERROR(__xludf.DUMMYFUNCTION("""COMPUTED_VALUE"""),126.5)</f>
        <v>126.5</v>
      </c>
      <c r="D449" s="2">
        <f>IFERROR(__xludf.DUMMYFUNCTION("""COMPUTED_VALUE"""),122.5)</f>
        <v>122.5</v>
      </c>
      <c r="E449" s="2">
        <f>IFERROR(__xludf.DUMMYFUNCTION("""COMPUTED_VALUE"""),123.16)</f>
        <v>123.16</v>
      </c>
      <c r="F449" s="2">
        <f>IFERROR(__xludf.DUMMYFUNCTION("""COMPUTED_VALUE"""),4002362.0)</f>
        <v>4002362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IFERROR(__xludf.DUMMYFUNCTION("""COMPUTED_VALUE"""),122.5)</f>
        <v>122.5</v>
      </c>
      <c r="C450" s="2">
        <f>IFERROR(__xludf.DUMMYFUNCTION("""COMPUTED_VALUE"""),123.96)</f>
        <v>123.96</v>
      </c>
      <c r="D450" s="2">
        <f>IFERROR(__xludf.DUMMYFUNCTION("""COMPUTED_VALUE"""),121.33)</f>
        <v>121.33</v>
      </c>
      <c r="E450" s="2">
        <f>IFERROR(__xludf.DUMMYFUNCTION("""COMPUTED_VALUE"""),122.74)</f>
        <v>122.74</v>
      </c>
      <c r="F450" s="2">
        <f>IFERROR(__xludf.DUMMYFUNCTION("""COMPUTED_VALUE"""),3182623.0)</f>
        <v>3182623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IFERROR(__xludf.DUMMYFUNCTION("""COMPUTED_VALUE"""),123.5)</f>
        <v>123.5</v>
      </c>
      <c r="C451" s="2">
        <f>IFERROR(__xludf.DUMMYFUNCTION("""COMPUTED_VALUE"""),123.5)</f>
        <v>123.5</v>
      </c>
      <c r="D451" s="2">
        <f>IFERROR(__xludf.DUMMYFUNCTION("""COMPUTED_VALUE"""),118.82)</f>
        <v>118.82</v>
      </c>
      <c r="E451" s="2">
        <f>IFERROR(__xludf.DUMMYFUNCTION("""COMPUTED_VALUE"""),118.9)</f>
        <v>118.9</v>
      </c>
      <c r="F451" s="2">
        <f>IFERROR(__xludf.DUMMYFUNCTION("""COMPUTED_VALUE"""),4359114.0)</f>
        <v>4359114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IFERROR(__xludf.DUMMYFUNCTION("""COMPUTED_VALUE"""),119.0)</f>
        <v>119</v>
      </c>
      <c r="C452" s="2">
        <f>IFERROR(__xludf.DUMMYFUNCTION("""COMPUTED_VALUE"""),119.7)</f>
        <v>119.7</v>
      </c>
      <c r="D452" s="2">
        <f>IFERROR(__xludf.DUMMYFUNCTION("""COMPUTED_VALUE"""),117.3)</f>
        <v>117.3</v>
      </c>
      <c r="E452" s="2">
        <f>IFERROR(__xludf.DUMMYFUNCTION("""COMPUTED_VALUE"""),119.03)</f>
        <v>119.03</v>
      </c>
      <c r="F452" s="2">
        <f>IFERROR(__xludf.DUMMYFUNCTION("""COMPUTED_VALUE"""),4023528.0)</f>
        <v>4023528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IFERROR(__xludf.DUMMYFUNCTION("""COMPUTED_VALUE"""),120.0)</f>
        <v>120</v>
      </c>
      <c r="C453" s="2">
        <f>IFERROR(__xludf.DUMMYFUNCTION("""COMPUTED_VALUE"""),120.56)</f>
        <v>120.56</v>
      </c>
      <c r="D453" s="2">
        <f>IFERROR(__xludf.DUMMYFUNCTION("""COMPUTED_VALUE"""),118.22)</f>
        <v>118.22</v>
      </c>
      <c r="E453" s="2">
        <f>IFERROR(__xludf.DUMMYFUNCTION("""COMPUTED_VALUE"""),119.54)</f>
        <v>119.54</v>
      </c>
      <c r="F453" s="2">
        <f>IFERROR(__xludf.DUMMYFUNCTION("""COMPUTED_VALUE"""),2751726.0)</f>
        <v>2751726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IFERROR(__xludf.DUMMYFUNCTION("""COMPUTED_VALUE"""),119.29)</f>
        <v>119.29</v>
      </c>
      <c r="C454" s="2">
        <f>IFERROR(__xludf.DUMMYFUNCTION("""COMPUTED_VALUE"""),121.05)</f>
        <v>121.05</v>
      </c>
      <c r="D454" s="2">
        <f>IFERROR(__xludf.DUMMYFUNCTION("""COMPUTED_VALUE"""),117.73)</f>
        <v>117.73</v>
      </c>
      <c r="E454" s="2">
        <f>IFERROR(__xludf.DUMMYFUNCTION("""COMPUTED_VALUE"""),119.56)</f>
        <v>119.56</v>
      </c>
      <c r="F454" s="2">
        <f>IFERROR(__xludf.DUMMYFUNCTION("""COMPUTED_VALUE"""),2577079.0)</f>
        <v>2577079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IFERROR(__xludf.DUMMYFUNCTION("""COMPUTED_VALUE"""),116.9)</f>
        <v>116.9</v>
      </c>
      <c r="C455" s="2">
        <f>IFERROR(__xludf.DUMMYFUNCTION("""COMPUTED_VALUE"""),117.58)</f>
        <v>117.58</v>
      </c>
      <c r="D455" s="2">
        <f>IFERROR(__xludf.DUMMYFUNCTION("""COMPUTED_VALUE"""),114.13)</f>
        <v>114.13</v>
      </c>
      <c r="E455" s="2">
        <f>IFERROR(__xludf.DUMMYFUNCTION("""COMPUTED_VALUE"""),115.5)</f>
        <v>115.5</v>
      </c>
      <c r="F455" s="2">
        <f>IFERROR(__xludf.DUMMYFUNCTION("""COMPUTED_VALUE"""),5650818.0)</f>
        <v>5650818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IFERROR(__xludf.DUMMYFUNCTION("""COMPUTED_VALUE"""),115.75)</f>
        <v>115.75</v>
      </c>
      <c r="C456" s="2">
        <f>IFERROR(__xludf.DUMMYFUNCTION("""COMPUTED_VALUE"""),116.41)</f>
        <v>116.41</v>
      </c>
      <c r="D456" s="2">
        <f>IFERROR(__xludf.DUMMYFUNCTION("""COMPUTED_VALUE"""),113.28)</f>
        <v>113.28</v>
      </c>
      <c r="E456" s="2">
        <f>IFERROR(__xludf.DUMMYFUNCTION("""COMPUTED_VALUE"""),113.61)</f>
        <v>113.61</v>
      </c>
      <c r="F456" s="2">
        <f>IFERROR(__xludf.DUMMYFUNCTION("""COMPUTED_VALUE"""),2925310.0)</f>
        <v>2925310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IFERROR(__xludf.DUMMYFUNCTION("""COMPUTED_VALUE"""),114.84)</f>
        <v>114.84</v>
      </c>
      <c r="C457" s="2">
        <f>IFERROR(__xludf.DUMMYFUNCTION("""COMPUTED_VALUE"""),116.33)</f>
        <v>116.33</v>
      </c>
      <c r="D457" s="2">
        <f>IFERROR(__xludf.DUMMYFUNCTION("""COMPUTED_VALUE"""),113.94)</f>
        <v>113.94</v>
      </c>
      <c r="E457" s="2">
        <f>IFERROR(__xludf.DUMMYFUNCTION("""COMPUTED_VALUE"""),114.92)</f>
        <v>114.92</v>
      </c>
      <c r="F457" s="2">
        <f>IFERROR(__xludf.DUMMYFUNCTION("""COMPUTED_VALUE"""),2817323.0)</f>
        <v>2817323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IFERROR(__xludf.DUMMYFUNCTION("""COMPUTED_VALUE"""),115.35)</f>
        <v>115.35</v>
      </c>
      <c r="C458" s="2">
        <f>IFERROR(__xludf.DUMMYFUNCTION("""COMPUTED_VALUE"""),117.07)</f>
        <v>117.07</v>
      </c>
      <c r="D458" s="2">
        <f>IFERROR(__xludf.DUMMYFUNCTION("""COMPUTED_VALUE"""),115.12)</f>
        <v>115.12</v>
      </c>
      <c r="E458" s="2">
        <f>IFERROR(__xludf.DUMMYFUNCTION("""COMPUTED_VALUE"""),116.04)</f>
        <v>116.04</v>
      </c>
      <c r="F458" s="2">
        <f>IFERROR(__xludf.DUMMYFUNCTION("""COMPUTED_VALUE"""),2718781.0)</f>
        <v>2718781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IFERROR(__xludf.DUMMYFUNCTION("""COMPUTED_VALUE"""),117.84)</f>
        <v>117.84</v>
      </c>
      <c r="C459" s="2">
        <f>IFERROR(__xludf.DUMMYFUNCTION("""COMPUTED_VALUE"""),119.2)</f>
        <v>119.2</v>
      </c>
      <c r="D459" s="2">
        <f>IFERROR(__xludf.DUMMYFUNCTION("""COMPUTED_VALUE"""),116.86)</f>
        <v>116.86</v>
      </c>
      <c r="E459" s="2">
        <f>IFERROR(__xludf.DUMMYFUNCTION("""COMPUTED_VALUE"""),117.33)</f>
        <v>117.33</v>
      </c>
      <c r="F459" s="2">
        <f>IFERROR(__xludf.DUMMYFUNCTION("""COMPUTED_VALUE"""),5238649.0)</f>
        <v>5238649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IFERROR(__xludf.DUMMYFUNCTION("""COMPUTED_VALUE"""),117.51)</f>
        <v>117.51</v>
      </c>
      <c r="C460" s="2">
        <f>IFERROR(__xludf.DUMMYFUNCTION("""COMPUTED_VALUE"""),119.59)</f>
        <v>119.59</v>
      </c>
      <c r="D460" s="2">
        <f>IFERROR(__xludf.DUMMYFUNCTION("""COMPUTED_VALUE"""),116.55)</f>
        <v>116.55</v>
      </c>
      <c r="E460" s="2">
        <f>IFERROR(__xludf.DUMMYFUNCTION("""COMPUTED_VALUE"""),118.39)</f>
        <v>118.39</v>
      </c>
      <c r="F460" s="2">
        <f>IFERROR(__xludf.DUMMYFUNCTION("""COMPUTED_VALUE"""),4154581.0)</f>
        <v>4154581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IFERROR(__xludf.DUMMYFUNCTION("""COMPUTED_VALUE"""),118.25)</f>
        <v>118.25</v>
      </c>
      <c r="C461" s="2">
        <f>IFERROR(__xludf.DUMMYFUNCTION("""COMPUTED_VALUE"""),121.19)</f>
        <v>121.19</v>
      </c>
      <c r="D461" s="2">
        <f>IFERROR(__xludf.DUMMYFUNCTION("""COMPUTED_VALUE"""),118.02)</f>
        <v>118.02</v>
      </c>
      <c r="E461" s="2">
        <f>IFERROR(__xludf.DUMMYFUNCTION("""COMPUTED_VALUE"""),118.99)</f>
        <v>118.99</v>
      </c>
      <c r="F461" s="2">
        <f>IFERROR(__xludf.DUMMYFUNCTION("""COMPUTED_VALUE"""),4610050.0)</f>
        <v>4610050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IFERROR(__xludf.DUMMYFUNCTION("""COMPUTED_VALUE"""),117.0)</f>
        <v>117</v>
      </c>
      <c r="C462" s="2">
        <f>IFERROR(__xludf.DUMMYFUNCTION("""COMPUTED_VALUE"""),117.83)</f>
        <v>117.83</v>
      </c>
      <c r="D462" s="2">
        <f>IFERROR(__xludf.DUMMYFUNCTION("""COMPUTED_VALUE"""),113.86)</f>
        <v>113.86</v>
      </c>
      <c r="E462" s="2">
        <f>IFERROR(__xludf.DUMMYFUNCTION("""COMPUTED_VALUE"""),114.82)</f>
        <v>114.82</v>
      </c>
      <c r="F462" s="2">
        <f>IFERROR(__xludf.DUMMYFUNCTION("""COMPUTED_VALUE"""),5284636.0)</f>
        <v>5284636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IFERROR(__xludf.DUMMYFUNCTION("""COMPUTED_VALUE"""),115.98)</f>
        <v>115.98</v>
      </c>
      <c r="C463" s="2">
        <f>IFERROR(__xludf.DUMMYFUNCTION("""COMPUTED_VALUE"""),117.06)</f>
        <v>117.06</v>
      </c>
      <c r="D463" s="2">
        <f>IFERROR(__xludf.DUMMYFUNCTION("""COMPUTED_VALUE"""),113.25)</f>
        <v>113.25</v>
      </c>
      <c r="E463" s="2">
        <f>IFERROR(__xludf.DUMMYFUNCTION("""COMPUTED_VALUE"""),115.49)</f>
        <v>115.49</v>
      </c>
      <c r="F463" s="2">
        <f>IFERROR(__xludf.DUMMYFUNCTION("""COMPUTED_VALUE"""),4659481.0)</f>
        <v>4659481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IFERROR(__xludf.DUMMYFUNCTION("""COMPUTED_VALUE"""),115.51)</f>
        <v>115.51</v>
      </c>
      <c r="C464" s="2">
        <f>IFERROR(__xludf.DUMMYFUNCTION("""COMPUTED_VALUE"""),116.19)</f>
        <v>116.19</v>
      </c>
      <c r="D464" s="2">
        <f>IFERROR(__xludf.DUMMYFUNCTION("""COMPUTED_VALUE"""),113.23)</f>
        <v>113.23</v>
      </c>
      <c r="E464" s="2">
        <f>IFERROR(__xludf.DUMMYFUNCTION("""COMPUTED_VALUE"""),113.74)</f>
        <v>113.74</v>
      </c>
      <c r="F464" s="2">
        <f>IFERROR(__xludf.DUMMYFUNCTION("""COMPUTED_VALUE"""),3762473.0)</f>
        <v>3762473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IFERROR(__xludf.DUMMYFUNCTION("""COMPUTED_VALUE"""),114.26)</f>
        <v>114.26</v>
      </c>
      <c r="C465" s="2">
        <f>IFERROR(__xludf.DUMMYFUNCTION("""COMPUTED_VALUE"""),117.34)</f>
        <v>117.34</v>
      </c>
      <c r="D465" s="2">
        <f>IFERROR(__xludf.DUMMYFUNCTION("""COMPUTED_VALUE"""),113.65)</f>
        <v>113.65</v>
      </c>
      <c r="E465" s="2">
        <f>IFERROR(__xludf.DUMMYFUNCTION("""COMPUTED_VALUE"""),116.5)</f>
        <v>116.5</v>
      </c>
      <c r="F465" s="2">
        <f>IFERROR(__xludf.DUMMYFUNCTION("""COMPUTED_VALUE"""),3774553.0)</f>
        <v>3774553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IFERROR(__xludf.DUMMYFUNCTION("""COMPUTED_VALUE"""),120.43)</f>
        <v>120.43</v>
      </c>
      <c r="C466" s="2">
        <f>IFERROR(__xludf.DUMMYFUNCTION("""COMPUTED_VALUE"""),121.75)</f>
        <v>121.75</v>
      </c>
      <c r="D466" s="2">
        <f>IFERROR(__xludf.DUMMYFUNCTION("""COMPUTED_VALUE"""),118.8)</f>
        <v>118.8</v>
      </c>
      <c r="E466" s="2">
        <f>IFERROR(__xludf.DUMMYFUNCTION("""COMPUTED_VALUE"""),121.42)</f>
        <v>121.42</v>
      </c>
      <c r="F466" s="2">
        <f>IFERROR(__xludf.DUMMYFUNCTION("""COMPUTED_VALUE"""),5455889.0)</f>
        <v>5455889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IFERROR(__xludf.DUMMYFUNCTION("""COMPUTED_VALUE"""),122.26)</f>
        <v>122.26</v>
      </c>
      <c r="C467" s="2">
        <f>IFERROR(__xludf.DUMMYFUNCTION("""COMPUTED_VALUE"""),124.96)</f>
        <v>124.96</v>
      </c>
      <c r="D467" s="2">
        <f>IFERROR(__xludf.DUMMYFUNCTION("""COMPUTED_VALUE"""),122.02)</f>
        <v>122.02</v>
      </c>
      <c r="E467" s="2">
        <f>IFERROR(__xludf.DUMMYFUNCTION("""COMPUTED_VALUE"""),123.54)</f>
        <v>123.54</v>
      </c>
      <c r="F467" s="2">
        <f>IFERROR(__xludf.DUMMYFUNCTION("""COMPUTED_VALUE"""),4596365.0)</f>
        <v>4596365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IFERROR(__xludf.DUMMYFUNCTION("""COMPUTED_VALUE"""),123.0)</f>
        <v>123</v>
      </c>
      <c r="C468" s="2">
        <f>IFERROR(__xludf.DUMMYFUNCTION("""COMPUTED_VALUE"""),123.0)</f>
        <v>123</v>
      </c>
      <c r="D468" s="2">
        <f>IFERROR(__xludf.DUMMYFUNCTION("""COMPUTED_VALUE"""),119.66)</f>
        <v>119.66</v>
      </c>
      <c r="E468" s="2">
        <f>IFERROR(__xludf.DUMMYFUNCTION("""COMPUTED_VALUE"""),120.89)</f>
        <v>120.89</v>
      </c>
      <c r="F468" s="2">
        <f>IFERROR(__xludf.DUMMYFUNCTION("""COMPUTED_VALUE"""),4914403.0)</f>
        <v>4914403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IFERROR(__xludf.DUMMYFUNCTION("""COMPUTED_VALUE"""),122.22)</f>
        <v>122.22</v>
      </c>
      <c r="C469" s="2">
        <f>IFERROR(__xludf.DUMMYFUNCTION("""COMPUTED_VALUE"""),123.71)</f>
        <v>123.71</v>
      </c>
      <c r="D469" s="2">
        <f>IFERROR(__xludf.DUMMYFUNCTION("""COMPUTED_VALUE"""),121.69)</f>
        <v>121.69</v>
      </c>
      <c r="E469" s="2">
        <f>IFERROR(__xludf.DUMMYFUNCTION("""COMPUTED_VALUE"""),123.5)</f>
        <v>123.5</v>
      </c>
      <c r="F469" s="2">
        <f>IFERROR(__xludf.DUMMYFUNCTION("""COMPUTED_VALUE"""),3829661.0)</f>
        <v>3829661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IFERROR(__xludf.DUMMYFUNCTION("""COMPUTED_VALUE"""),123.0)</f>
        <v>123</v>
      </c>
      <c r="C470" s="2">
        <f>IFERROR(__xludf.DUMMYFUNCTION("""COMPUTED_VALUE"""),127.05)</f>
        <v>127.05</v>
      </c>
      <c r="D470" s="2">
        <f>IFERROR(__xludf.DUMMYFUNCTION("""COMPUTED_VALUE"""),123.0)</f>
        <v>123</v>
      </c>
      <c r="E470" s="2">
        <f>IFERROR(__xludf.DUMMYFUNCTION("""COMPUTED_VALUE"""),125.46)</f>
        <v>125.46</v>
      </c>
      <c r="F470" s="2">
        <f>IFERROR(__xludf.DUMMYFUNCTION("""COMPUTED_VALUE"""),5754758.0)</f>
        <v>5754758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IFERROR(__xludf.DUMMYFUNCTION("""COMPUTED_VALUE"""),126.38)</f>
        <v>126.38</v>
      </c>
      <c r="C471" s="2">
        <f>IFERROR(__xludf.DUMMYFUNCTION("""COMPUTED_VALUE"""),134.59)</f>
        <v>134.59</v>
      </c>
      <c r="D471" s="2">
        <f>IFERROR(__xludf.DUMMYFUNCTION("""COMPUTED_VALUE"""),126.01)</f>
        <v>126.01</v>
      </c>
      <c r="E471" s="2">
        <f>IFERROR(__xludf.DUMMYFUNCTION("""COMPUTED_VALUE"""),130.73)</f>
        <v>130.73</v>
      </c>
      <c r="F471" s="2">
        <f>IFERROR(__xludf.DUMMYFUNCTION("""COMPUTED_VALUE"""),1.1352149E7)</f>
        <v>11352149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IFERROR(__xludf.DUMMYFUNCTION("""COMPUTED_VALUE"""),132.06)</f>
        <v>132.06</v>
      </c>
      <c r="C472" s="2">
        <f>IFERROR(__xludf.DUMMYFUNCTION("""COMPUTED_VALUE"""),132.26)</f>
        <v>132.26</v>
      </c>
      <c r="D472" s="2">
        <f>IFERROR(__xludf.DUMMYFUNCTION("""COMPUTED_VALUE"""),129.07)</f>
        <v>129.07</v>
      </c>
      <c r="E472" s="2">
        <f>IFERROR(__xludf.DUMMYFUNCTION("""COMPUTED_VALUE"""),129.27)</f>
        <v>129.27</v>
      </c>
      <c r="F472" s="2">
        <f>IFERROR(__xludf.DUMMYFUNCTION("""COMPUTED_VALUE"""),4959602.0)</f>
        <v>4959602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IFERROR(__xludf.DUMMYFUNCTION("""COMPUTED_VALUE"""),128.59)</f>
        <v>128.59</v>
      </c>
      <c r="C473" s="2">
        <f>IFERROR(__xludf.DUMMYFUNCTION("""COMPUTED_VALUE"""),128.95)</f>
        <v>128.95</v>
      </c>
      <c r="D473" s="2">
        <f>IFERROR(__xludf.DUMMYFUNCTION("""COMPUTED_VALUE"""),123.36)</f>
        <v>123.36</v>
      </c>
      <c r="E473" s="2">
        <f>IFERROR(__xludf.DUMMYFUNCTION("""COMPUTED_VALUE"""),125.96)</f>
        <v>125.96</v>
      </c>
      <c r="F473" s="2">
        <f>IFERROR(__xludf.DUMMYFUNCTION("""COMPUTED_VALUE"""),5737745.0)</f>
        <v>5737745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IFERROR(__xludf.DUMMYFUNCTION("""COMPUTED_VALUE"""),126.48)</f>
        <v>126.48</v>
      </c>
      <c r="C474" s="2">
        <f>IFERROR(__xludf.DUMMYFUNCTION("""COMPUTED_VALUE"""),127.53)</f>
        <v>127.53</v>
      </c>
      <c r="D474" s="2">
        <f>IFERROR(__xludf.DUMMYFUNCTION("""COMPUTED_VALUE"""),125.0)</f>
        <v>125</v>
      </c>
      <c r="E474" s="2">
        <f>IFERROR(__xludf.DUMMYFUNCTION("""COMPUTED_VALUE"""),127.43)</f>
        <v>127.43</v>
      </c>
      <c r="F474" s="2">
        <f>IFERROR(__xludf.DUMMYFUNCTION("""COMPUTED_VALUE"""),4589918.0)</f>
        <v>4589918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IFERROR(__xludf.DUMMYFUNCTION("""COMPUTED_VALUE"""),127.55)</f>
        <v>127.55</v>
      </c>
      <c r="C475" s="2">
        <f>IFERROR(__xludf.DUMMYFUNCTION("""COMPUTED_VALUE"""),130.34)</f>
        <v>130.34</v>
      </c>
      <c r="D475" s="2">
        <f>IFERROR(__xludf.DUMMYFUNCTION("""COMPUTED_VALUE"""),126.36)</f>
        <v>126.36</v>
      </c>
      <c r="E475" s="2">
        <f>IFERROR(__xludf.DUMMYFUNCTION("""COMPUTED_VALUE"""),130.24)</f>
        <v>130.24</v>
      </c>
      <c r="F475" s="2">
        <f>IFERROR(__xludf.DUMMYFUNCTION("""COMPUTED_VALUE"""),4844089.0)</f>
        <v>4844089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IFERROR(__xludf.DUMMYFUNCTION("""COMPUTED_VALUE"""),131.26)</f>
        <v>131.26</v>
      </c>
      <c r="C476" s="2">
        <f>IFERROR(__xludf.DUMMYFUNCTION("""COMPUTED_VALUE"""),133.55)</f>
        <v>133.55</v>
      </c>
      <c r="D476" s="2">
        <f>IFERROR(__xludf.DUMMYFUNCTION("""COMPUTED_VALUE"""),127.55)</f>
        <v>127.55</v>
      </c>
      <c r="E476" s="2">
        <f>IFERROR(__xludf.DUMMYFUNCTION("""COMPUTED_VALUE"""),129.12)</f>
        <v>129.12</v>
      </c>
      <c r="F476" s="2">
        <f>IFERROR(__xludf.DUMMYFUNCTION("""COMPUTED_VALUE"""),1.5555707E7)</f>
        <v>15555707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IFERROR(__xludf.DUMMYFUNCTION("""COMPUTED_VALUE"""),161.26)</f>
        <v>161.26</v>
      </c>
      <c r="C477" s="2">
        <f>IFERROR(__xludf.DUMMYFUNCTION("""COMPUTED_VALUE"""),174.65)</f>
        <v>174.65</v>
      </c>
      <c r="D477" s="2">
        <f>IFERROR(__xludf.DUMMYFUNCTION("""COMPUTED_VALUE"""),161.16)</f>
        <v>161.16</v>
      </c>
      <c r="E477" s="2">
        <f>IFERROR(__xludf.DUMMYFUNCTION("""COMPUTED_VALUE"""),171.35)</f>
        <v>171.35</v>
      </c>
      <c r="F477" s="2">
        <f>IFERROR(__xludf.DUMMYFUNCTION("""COMPUTED_VALUE"""),5.5121595E7)</f>
        <v>55121595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IFERROR(__xludf.DUMMYFUNCTION("""COMPUTED_VALUE"""),175.0)</f>
        <v>175</v>
      </c>
      <c r="C478" s="2">
        <f>IFERROR(__xludf.DUMMYFUNCTION("""COMPUTED_VALUE"""),178.7)</f>
        <v>178.7</v>
      </c>
      <c r="D478" s="2">
        <f>IFERROR(__xludf.DUMMYFUNCTION("""COMPUTED_VALUE"""),166.81)</f>
        <v>166.81</v>
      </c>
      <c r="E478" s="2">
        <f>IFERROR(__xludf.DUMMYFUNCTION("""COMPUTED_VALUE"""),167.44)</f>
        <v>167.44</v>
      </c>
      <c r="F478" s="2">
        <f>IFERROR(__xludf.DUMMYFUNCTION("""COMPUTED_VALUE"""),2.028386E7)</f>
        <v>20283860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IFERROR(__xludf.DUMMYFUNCTION("""COMPUTED_VALUE"""),174.96)</f>
        <v>174.96</v>
      </c>
      <c r="C479" s="2">
        <f>IFERROR(__xludf.DUMMYFUNCTION("""COMPUTED_VALUE"""),177.99)</f>
        <v>177.99</v>
      </c>
      <c r="D479" s="2">
        <f>IFERROR(__xludf.DUMMYFUNCTION("""COMPUTED_VALUE"""),171.15)</f>
        <v>171.15</v>
      </c>
      <c r="E479" s="2">
        <f>IFERROR(__xludf.DUMMYFUNCTION("""COMPUTED_VALUE"""),171.42)</f>
        <v>171.42</v>
      </c>
      <c r="F479" s="2">
        <f>IFERROR(__xludf.DUMMYFUNCTION("""COMPUTED_VALUE"""),1.5276696E7)</f>
        <v>15276696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IFERROR(__xludf.DUMMYFUNCTION("""COMPUTED_VALUE"""),173.48)</f>
        <v>173.48</v>
      </c>
      <c r="C480" s="2">
        <f>IFERROR(__xludf.DUMMYFUNCTION("""COMPUTED_VALUE"""),176.8)</f>
        <v>176.8</v>
      </c>
      <c r="D480" s="2">
        <f>IFERROR(__xludf.DUMMYFUNCTION("""COMPUTED_VALUE"""),170.91)</f>
        <v>170.91</v>
      </c>
      <c r="E480" s="2">
        <f>IFERROR(__xludf.DUMMYFUNCTION("""COMPUTED_VALUE"""),171.28)</f>
        <v>171.28</v>
      </c>
      <c r="F480" s="2">
        <f>IFERROR(__xludf.DUMMYFUNCTION("""COMPUTED_VALUE"""),7669642.0)</f>
        <v>7669642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IFERROR(__xludf.DUMMYFUNCTION("""COMPUTED_VALUE"""),172.39)</f>
        <v>172.39</v>
      </c>
      <c r="C481" s="2">
        <f>IFERROR(__xludf.DUMMYFUNCTION("""COMPUTED_VALUE"""),173.93)</f>
        <v>173.93</v>
      </c>
      <c r="D481" s="2">
        <f>IFERROR(__xludf.DUMMYFUNCTION("""COMPUTED_VALUE"""),167.38)</f>
        <v>167.38</v>
      </c>
      <c r="E481" s="2">
        <f>IFERROR(__xludf.DUMMYFUNCTION("""COMPUTED_VALUE"""),173.7)</f>
        <v>173.7</v>
      </c>
      <c r="F481" s="2">
        <f>IFERROR(__xludf.DUMMYFUNCTION("""COMPUTED_VALUE"""),6980317.0)</f>
        <v>6980317</v>
      </c>
    </row>
    <row r="482">
      <c r="A482" s="3">
        <f>IFERROR(__xludf.DUMMYFUNCTION("""COMPUTED_VALUE"""),45625.54166666667)</f>
        <v>45625.54167</v>
      </c>
      <c r="B482" s="2">
        <f>IFERROR(__xludf.DUMMYFUNCTION("""COMPUTED_VALUE"""),174.75)</f>
        <v>174.75</v>
      </c>
      <c r="C482" s="2">
        <f>IFERROR(__xludf.DUMMYFUNCTION("""COMPUTED_VALUE"""),178.37)</f>
        <v>178.37</v>
      </c>
      <c r="D482" s="2">
        <f>IFERROR(__xludf.DUMMYFUNCTION("""COMPUTED_VALUE"""),173.17)</f>
        <v>173.17</v>
      </c>
      <c r="E482" s="2">
        <f>IFERROR(__xludf.DUMMYFUNCTION("""COMPUTED_VALUE"""),174.8)</f>
        <v>174.8</v>
      </c>
      <c r="F482" s="2">
        <f>IFERROR(__xludf.DUMMYFUNCTION("""COMPUTED_VALUE"""),4429163.0)</f>
        <v>4429163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IFERROR(__xludf.DUMMYFUNCTION("""COMPUTED_VALUE"""),175.03)</f>
        <v>175.03</v>
      </c>
      <c r="C483" s="2">
        <f>IFERROR(__xludf.DUMMYFUNCTION("""COMPUTED_VALUE"""),177.65)</f>
        <v>177.65</v>
      </c>
      <c r="D483" s="2">
        <f>IFERROR(__xludf.DUMMYFUNCTION("""COMPUTED_VALUE"""),171.3)</f>
        <v>171.3</v>
      </c>
      <c r="E483" s="2">
        <f>IFERROR(__xludf.DUMMYFUNCTION("""COMPUTED_VALUE"""),172.42)</f>
        <v>172.42</v>
      </c>
      <c r="F483" s="2">
        <f>IFERROR(__xludf.DUMMYFUNCTION("""COMPUTED_VALUE"""),5832133.0)</f>
        <v>5832133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IFERROR(__xludf.DUMMYFUNCTION("""COMPUTED_VALUE"""),171.0)</f>
        <v>171</v>
      </c>
      <c r="C484" s="2">
        <f>IFERROR(__xludf.DUMMYFUNCTION("""COMPUTED_VALUE"""),176.07)</f>
        <v>176.07</v>
      </c>
      <c r="D484" s="2">
        <f>IFERROR(__xludf.DUMMYFUNCTION("""COMPUTED_VALUE"""),170.59)</f>
        <v>170.59</v>
      </c>
      <c r="E484" s="2">
        <f>IFERROR(__xludf.DUMMYFUNCTION("""COMPUTED_VALUE"""),175.94)</f>
        <v>175.94</v>
      </c>
      <c r="F484" s="2">
        <f>IFERROR(__xludf.DUMMYFUNCTION("""COMPUTED_VALUE"""),5301462.0)</f>
        <v>5301462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IFERROR(__xludf.DUMMYFUNCTION("""COMPUTED_VALUE"""),180.0)</f>
        <v>180</v>
      </c>
      <c r="C485" s="2">
        <f>IFERROR(__xludf.DUMMYFUNCTION("""COMPUTED_VALUE"""),186.82)</f>
        <v>186.82</v>
      </c>
      <c r="D485" s="2">
        <f>IFERROR(__xludf.DUMMYFUNCTION("""COMPUTED_VALUE"""),178.59)</f>
        <v>178.59</v>
      </c>
      <c r="E485" s="2">
        <f>IFERROR(__xludf.DUMMYFUNCTION("""COMPUTED_VALUE"""),186.51)</f>
        <v>186.51</v>
      </c>
      <c r="F485" s="2">
        <f>IFERROR(__xludf.DUMMYFUNCTION("""COMPUTED_VALUE"""),1.3585589E7)</f>
        <v>13585589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IFERROR(__xludf.DUMMYFUNCTION("""COMPUTED_VALUE"""),186.34)</f>
        <v>186.34</v>
      </c>
      <c r="C486" s="2">
        <f>IFERROR(__xludf.DUMMYFUNCTION("""COMPUTED_VALUE"""),186.55)</f>
        <v>186.55</v>
      </c>
      <c r="D486" s="2">
        <f>IFERROR(__xludf.DUMMYFUNCTION("""COMPUTED_VALUE"""),182.3)</f>
        <v>182.3</v>
      </c>
      <c r="E486" s="2">
        <f>IFERROR(__xludf.DUMMYFUNCTION("""COMPUTED_VALUE"""),183.06)</f>
        <v>183.06</v>
      </c>
      <c r="F486" s="2">
        <f>IFERROR(__xludf.DUMMYFUNCTION("""COMPUTED_VALUE"""),6668294.0)</f>
        <v>6668294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IFERROR(__xludf.DUMMYFUNCTION("""COMPUTED_VALUE"""),186.01)</f>
        <v>186.01</v>
      </c>
      <c r="C487" s="2">
        <f>IFERROR(__xludf.DUMMYFUNCTION("""COMPUTED_VALUE"""),186.9)</f>
        <v>186.9</v>
      </c>
      <c r="D487" s="2">
        <f>IFERROR(__xludf.DUMMYFUNCTION("""COMPUTED_VALUE"""),181.37)</f>
        <v>181.37</v>
      </c>
      <c r="E487" s="2">
        <f>IFERROR(__xludf.DUMMYFUNCTION("""COMPUTED_VALUE"""),183.64)</f>
        <v>183.64</v>
      </c>
      <c r="F487" s="2">
        <f>IFERROR(__xludf.DUMMYFUNCTION("""COMPUTED_VALUE"""),4988273.0)</f>
        <v>4988273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IFERROR(__xludf.DUMMYFUNCTION("""COMPUTED_VALUE"""),183.2)</f>
        <v>183.2</v>
      </c>
      <c r="C488" s="2">
        <f>IFERROR(__xludf.DUMMYFUNCTION("""COMPUTED_VALUE"""),185.4)</f>
        <v>185.4</v>
      </c>
      <c r="D488" s="2">
        <f>IFERROR(__xludf.DUMMYFUNCTION("""COMPUTED_VALUE"""),178.79)</f>
        <v>178.79</v>
      </c>
      <c r="E488" s="2">
        <f>IFERROR(__xludf.DUMMYFUNCTION("""COMPUTED_VALUE"""),180.76)</f>
        <v>180.76</v>
      </c>
      <c r="F488" s="2">
        <f>IFERROR(__xludf.DUMMYFUNCTION("""COMPUTED_VALUE"""),6336082.0)</f>
        <v>6336082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IFERROR(__xludf.DUMMYFUNCTION("""COMPUTED_VALUE"""),179.0)</f>
        <v>179</v>
      </c>
      <c r="C489" s="2">
        <f>IFERROR(__xludf.DUMMYFUNCTION("""COMPUTED_VALUE"""),180.9)</f>
        <v>180.9</v>
      </c>
      <c r="D489" s="2">
        <f>IFERROR(__xludf.DUMMYFUNCTION("""COMPUTED_VALUE"""),169.35)</f>
        <v>169.35</v>
      </c>
      <c r="E489" s="2">
        <f>IFERROR(__xludf.DUMMYFUNCTION("""COMPUTED_VALUE"""),171.55)</f>
        <v>171.55</v>
      </c>
      <c r="F489" s="2">
        <f>IFERROR(__xludf.DUMMYFUNCTION("""COMPUTED_VALUE"""),8609645.0)</f>
        <v>8609645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IFERROR(__xludf.DUMMYFUNCTION("""COMPUTED_VALUE"""),173.46)</f>
        <v>173.46</v>
      </c>
      <c r="C490" s="2">
        <f>IFERROR(__xludf.DUMMYFUNCTION("""COMPUTED_VALUE"""),176.3)</f>
        <v>176.3</v>
      </c>
      <c r="D490" s="2">
        <f>IFERROR(__xludf.DUMMYFUNCTION("""COMPUTED_VALUE"""),170.3)</f>
        <v>170.3</v>
      </c>
      <c r="E490" s="2">
        <f>IFERROR(__xludf.DUMMYFUNCTION("""COMPUTED_VALUE"""),171.96)</f>
        <v>171.96</v>
      </c>
      <c r="F490" s="2">
        <f>IFERROR(__xludf.DUMMYFUNCTION("""COMPUTED_VALUE"""),5475453.0)</f>
        <v>5475453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IFERROR(__xludf.DUMMYFUNCTION("""COMPUTED_VALUE"""),169.6)</f>
        <v>169.6</v>
      </c>
      <c r="C491" s="2">
        <f>IFERROR(__xludf.DUMMYFUNCTION("""COMPUTED_VALUE"""),172.41)</f>
        <v>172.41</v>
      </c>
      <c r="D491" s="2">
        <f>IFERROR(__xludf.DUMMYFUNCTION("""COMPUTED_VALUE"""),169.08)</f>
        <v>169.08</v>
      </c>
      <c r="E491" s="2">
        <f>IFERROR(__xludf.DUMMYFUNCTION("""COMPUTED_VALUE"""),170.0)</f>
        <v>170</v>
      </c>
      <c r="F491" s="2">
        <f>IFERROR(__xludf.DUMMYFUNCTION("""COMPUTED_VALUE"""),4404054.0)</f>
        <v>4404054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IFERROR(__xludf.DUMMYFUNCTION("""COMPUTED_VALUE"""),169.52)</f>
        <v>169.52</v>
      </c>
      <c r="C492" s="2">
        <f>IFERROR(__xludf.DUMMYFUNCTION("""COMPUTED_VALUE"""),170.73)</f>
        <v>170.73</v>
      </c>
      <c r="D492" s="2">
        <f>IFERROR(__xludf.DUMMYFUNCTION("""COMPUTED_VALUE"""),165.73)</f>
        <v>165.73</v>
      </c>
      <c r="E492" s="2">
        <f>IFERROR(__xludf.DUMMYFUNCTION("""COMPUTED_VALUE"""),167.67)</f>
        <v>167.67</v>
      </c>
      <c r="F492" s="2">
        <f>IFERROR(__xludf.DUMMYFUNCTION("""COMPUTED_VALUE"""),5516920.0)</f>
        <v>5516920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IFERROR(__xludf.DUMMYFUNCTION("""COMPUTED_VALUE"""),167.66)</f>
        <v>167.66</v>
      </c>
      <c r="C493" s="2">
        <f>IFERROR(__xludf.DUMMYFUNCTION("""COMPUTED_VALUE"""),173.4)</f>
        <v>173.4</v>
      </c>
      <c r="D493" s="2">
        <f>IFERROR(__xludf.DUMMYFUNCTION("""COMPUTED_VALUE"""),167.22)</f>
        <v>167.22</v>
      </c>
      <c r="E493" s="2">
        <f>IFERROR(__xludf.DUMMYFUNCTION("""COMPUTED_VALUE"""),172.47)</f>
        <v>172.47</v>
      </c>
      <c r="F493" s="2">
        <f>IFERROR(__xludf.DUMMYFUNCTION("""COMPUTED_VALUE"""),6559276.0)</f>
        <v>6559276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IFERROR(__xludf.DUMMYFUNCTION("""COMPUTED_VALUE"""),171.0)</f>
        <v>171</v>
      </c>
      <c r="C494" s="2">
        <f>IFERROR(__xludf.DUMMYFUNCTION("""COMPUTED_VALUE"""),172.65)</f>
        <v>172.65</v>
      </c>
      <c r="D494" s="2">
        <f>IFERROR(__xludf.DUMMYFUNCTION("""COMPUTED_VALUE"""),169.24)</f>
        <v>169.24</v>
      </c>
      <c r="E494" s="2">
        <f>IFERROR(__xludf.DUMMYFUNCTION("""COMPUTED_VALUE"""),170.81)</f>
        <v>170.81</v>
      </c>
      <c r="F494" s="2">
        <f>IFERROR(__xludf.DUMMYFUNCTION("""COMPUTED_VALUE"""),5162427.0)</f>
        <v>5162427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IFERROR(__xludf.DUMMYFUNCTION("GOOGLEFINANCE(""TSLA"",""all"",DATE(2023,1,1),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IFERROR(__xludf.DUMMYFUNCTION("""COMPUTED_VALUE"""),118.47)</f>
        <v>118.47</v>
      </c>
      <c r="C2" s="2">
        <f>IFERROR(__xludf.DUMMYFUNCTION("""COMPUTED_VALUE"""),118.8)</f>
        <v>118.8</v>
      </c>
      <c r="D2" s="2">
        <f>IFERROR(__xludf.DUMMYFUNCTION("""COMPUTED_VALUE"""),104.64)</f>
        <v>104.64</v>
      </c>
      <c r="E2" s="2">
        <f>IFERROR(__xludf.DUMMYFUNCTION("""COMPUTED_VALUE"""),108.1)</f>
        <v>108.1</v>
      </c>
      <c r="F2" s="2">
        <f>IFERROR(__xludf.DUMMYFUNCTION("""COMPUTED_VALUE"""),2.31402818E8)</f>
        <v>231402818</v>
      </c>
    </row>
    <row r="3">
      <c r="A3" s="3">
        <f>IFERROR(__xludf.DUMMYFUNCTION("""COMPUTED_VALUE"""),44930.66666666667)</f>
        <v>44930.66667</v>
      </c>
      <c r="B3" s="2">
        <f>IFERROR(__xludf.DUMMYFUNCTION("""COMPUTED_VALUE"""),109.11)</f>
        <v>109.11</v>
      </c>
      <c r="C3" s="2">
        <f>IFERROR(__xludf.DUMMYFUNCTION("""COMPUTED_VALUE"""),114.59)</f>
        <v>114.59</v>
      </c>
      <c r="D3" s="2">
        <f>IFERROR(__xludf.DUMMYFUNCTION("""COMPUTED_VALUE"""),107.52)</f>
        <v>107.52</v>
      </c>
      <c r="E3" s="2">
        <f>IFERROR(__xludf.DUMMYFUNCTION("""COMPUTED_VALUE"""),113.64)</f>
        <v>113.64</v>
      </c>
      <c r="F3" s="2">
        <f>IFERROR(__xludf.DUMMYFUNCTION("""COMPUTED_VALUE"""),1.80388976E8)</f>
        <v>180388976</v>
      </c>
    </row>
    <row r="4">
      <c r="A4" s="3">
        <f>IFERROR(__xludf.DUMMYFUNCTION("""COMPUTED_VALUE"""),44931.66666666667)</f>
        <v>44931.66667</v>
      </c>
      <c r="B4" s="2">
        <f>IFERROR(__xludf.DUMMYFUNCTION("""COMPUTED_VALUE"""),110.51)</f>
        <v>110.51</v>
      </c>
      <c r="C4" s="2">
        <f>IFERROR(__xludf.DUMMYFUNCTION("""COMPUTED_VALUE"""),111.75)</f>
        <v>111.75</v>
      </c>
      <c r="D4" s="2">
        <f>IFERROR(__xludf.DUMMYFUNCTION("""COMPUTED_VALUE"""),107.16)</f>
        <v>107.16</v>
      </c>
      <c r="E4" s="2">
        <f>IFERROR(__xludf.DUMMYFUNCTION("""COMPUTED_VALUE"""),110.34)</f>
        <v>110.34</v>
      </c>
      <c r="F4" s="2">
        <f>IFERROR(__xludf.DUMMYFUNCTION("""COMPUTED_VALUE"""),1.57986324E8)</f>
        <v>157986324</v>
      </c>
    </row>
    <row r="5">
      <c r="A5" s="3">
        <f>IFERROR(__xludf.DUMMYFUNCTION("""COMPUTED_VALUE"""),44932.66666666667)</f>
        <v>44932.66667</v>
      </c>
      <c r="B5" s="2">
        <f>IFERROR(__xludf.DUMMYFUNCTION("""COMPUTED_VALUE"""),103.0)</f>
        <v>103</v>
      </c>
      <c r="C5" s="2">
        <f>IFERROR(__xludf.DUMMYFUNCTION("""COMPUTED_VALUE"""),114.39)</f>
        <v>114.39</v>
      </c>
      <c r="D5" s="2">
        <f>IFERROR(__xludf.DUMMYFUNCTION("""COMPUTED_VALUE"""),101.81)</f>
        <v>101.81</v>
      </c>
      <c r="E5" s="2">
        <f>IFERROR(__xludf.DUMMYFUNCTION("""COMPUTED_VALUE"""),113.06)</f>
        <v>113.06</v>
      </c>
      <c r="F5" s="2">
        <f>IFERROR(__xludf.DUMMYFUNCTION("""COMPUTED_VALUE"""),2.20911051E8)</f>
        <v>220911051</v>
      </c>
    </row>
    <row r="6">
      <c r="A6" s="3">
        <f>IFERROR(__xludf.DUMMYFUNCTION("""COMPUTED_VALUE"""),44935.66666666667)</f>
        <v>44935.66667</v>
      </c>
      <c r="B6" s="2">
        <f>IFERROR(__xludf.DUMMYFUNCTION("""COMPUTED_VALUE"""),118.96)</f>
        <v>118.96</v>
      </c>
      <c r="C6" s="2">
        <f>IFERROR(__xludf.DUMMYFUNCTION("""COMPUTED_VALUE"""),123.52)</f>
        <v>123.52</v>
      </c>
      <c r="D6" s="2">
        <f>IFERROR(__xludf.DUMMYFUNCTION("""COMPUTED_VALUE"""),117.11)</f>
        <v>117.11</v>
      </c>
      <c r="E6" s="2">
        <f>IFERROR(__xludf.DUMMYFUNCTION("""COMPUTED_VALUE"""),119.77)</f>
        <v>119.77</v>
      </c>
      <c r="F6" s="2">
        <f>IFERROR(__xludf.DUMMYFUNCTION("""COMPUTED_VALUE"""),1.90283951E8)</f>
        <v>190283951</v>
      </c>
    </row>
    <row r="7">
      <c r="A7" s="3">
        <f>IFERROR(__xludf.DUMMYFUNCTION("""COMPUTED_VALUE"""),44936.66666666667)</f>
        <v>44936.66667</v>
      </c>
      <c r="B7" s="2">
        <f>IFERROR(__xludf.DUMMYFUNCTION("""COMPUTED_VALUE"""),121.07)</f>
        <v>121.07</v>
      </c>
      <c r="C7" s="2">
        <f>IFERROR(__xludf.DUMMYFUNCTION("""COMPUTED_VALUE"""),122.76)</f>
        <v>122.76</v>
      </c>
      <c r="D7" s="2">
        <f>IFERROR(__xludf.DUMMYFUNCTION("""COMPUTED_VALUE"""),114.92)</f>
        <v>114.92</v>
      </c>
      <c r="E7" s="2">
        <f>IFERROR(__xludf.DUMMYFUNCTION("""COMPUTED_VALUE"""),118.85)</f>
        <v>118.85</v>
      </c>
      <c r="F7" s="2">
        <f>IFERROR(__xludf.DUMMYFUNCTION("""COMPUTED_VALUE"""),1.67642485E8)</f>
        <v>167642485</v>
      </c>
    </row>
    <row r="8">
      <c r="A8" s="3">
        <f>IFERROR(__xludf.DUMMYFUNCTION("""COMPUTED_VALUE"""),44937.66666666667)</f>
        <v>44937.66667</v>
      </c>
      <c r="B8" s="2">
        <f>IFERROR(__xludf.DUMMYFUNCTION("""COMPUTED_VALUE"""),122.09)</f>
        <v>122.09</v>
      </c>
      <c r="C8" s="2">
        <f>IFERROR(__xludf.DUMMYFUNCTION("""COMPUTED_VALUE"""),125.95)</f>
        <v>125.95</v>
      </c>
      <c r="D8" s="2">
        <f>IFERROR(__xludf.DUMMYFUNCTION("""COMPUTED_VALUE"""),120.51)</f>
        <v>120.51</v>
      </c>
      <c r="E8" s="2">
        <f>IFERROR(__xludf.DUMMYFUNCTION("""COMPUTED_VALUE"""),123.22)</f>
        <v>123.22</v>
      </c>
      <c r="F8" s="2">
        <f>IFERROR(__xludf.DUMMYFUNCTION("""COMPUTED_VALUE"""),1.83810771E8)</f>
        <v>183810771</v>
      </c>
    </row>
    <row r="9">
      <c r="A9" s="3">
        <f>IFERROR(__xludf.DUMMYFUNCTION("""COMPUTED_VALUE"""),44938.66666666667)</f>
        <v>44938.66667</v>
      </c>
      <c r="B9" s="2">
        <f>IFERROR(__xludf.DUMMYFUNCTION("""COMPUTED_VALUE"""),122.56)</f>
        <v>122.56</v>
      </c>
      <c r="C9" s="2">
        <f>IFERROR(__xludf.DUMMYFUNCTION("""COMPUTED_VALUE"""),124.13)</f>
        <v>124.13</v>
      </c>
      <c r="D9" s="2">
        <f>IFERROR(__xludf.DUMMYFUNCTION("""COMPUTED_VALUE"""),117.0)</f>
        <v>117</v>
      </c>
      <c r="E9" s="2">
        <f>IFERROR(__xludf.DUMMYFUNCTION("""COMPUTED_VALUE"""),123.56)</f>
        <v>123.56</v>
      </c>
      <c r="F9" s="2">
        <f>IFERROR(__xludf.DUMMYFUNCTION("""COMPUTED_VALUE"""),1.69400913E8)</f>
        <v>169400913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IFERROR(__xludf.DUMMYFUNCTION("""COMPUTED_VALUE"""),116.55)</f>
        <v>116.55</v>
      </c>
      <c r="C10" s="2">
        <f>IFERROR(__xludf.DUMMYFUNCTION("""COMPUTED_VALUE"""),122.63)</f>
        <v>122.63</v>
      </c>
      <c r="D10" s="2">
        <f>IFERROR(__xludf.DUMMYFUNCTION("""COMPUTED_VALUE"""),115.6)</f>
        <v>115.6</v>
      </c>
      <c r="E10" s="2">
        <f>IFERROR(__xludf.DUMMYFUNCTION("""COMPUTED_VALUE"""),122.4)</f>
        <v>122.4</v>
      </c>
      <c r="F10" s="2">
        <f>IFERROR(__xludf.DUMMYFUNCTION("""COMPUTED_VALUE"""),1.80714119E8)</f>
        <v>180714119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IFERROR(__xludf.DUMMYFUNCTION("""COMPUTED_VALUE"""),125.7)</f>
        <v>125.7</v>
      </c>
      <c r="C11" s="2">
        <f>IFERROR(__xludf.DUMMYFUNCTION("""COMPUTED_VALUE"""),131.7)</f>
        <v>131.7</v>
      </c>
      <c r="D11" s="2">
        <f>IFERROR(__xludf.DUMMYFUNCTION("""COMPUTED_VALUE"""),125.02)</f>
        <v>125.02</v>
      </c>
      <c r="E11" s="2">
        <f>IFERROR(__xludf.DUMMYFUNCTION("""COMPUTED_VALUE"""),131.49)</f>
        <v>131.49</v>
      </c>
      <c r="F11" s="2">
        <f>IFERROR(__xludf.DUMMYFUNCTION("""COMPUTED_VALUE"""),1.86476985E8)</f>
        <v>186476985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IFERROR(__xludf.DUMMYFUNCTION("""COMPUTED_VALUE"""),136.56)</f>
        <v>136.56</v>
      </c>
      <c r="C12" s="2">
        <f>IFERROR(__xludf.DUMMYFUNCTION("""COMPUTED_VALUE"""),136.68)</f>
        <v>136.68</v>
      </c>
      <c r="D12" s="2">
        <f>IFERROR(__xludf.DUMMYFUNCTION("""COMPUTED_VALUE"""),127.01)</f>
        <v>127.01</v>
      </c>
      <c r="E12" s="2">
        <f>IFERROR(__xludf.DUMMYFUNCTION("""COMPUTED_VALUE"""),128.78)</f>
        <v>128.78</v>
      </c>
      <c r="F12" s="2">
        <f>IFERROR(__xludf.DUMMYFUNCTION("""COMPUTED_VALUE"""),1.95680318E8)</f>
        <v>195680318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IFERROR(__xludf.DUMMYFUNCTION("""COMPUTED_VALUE"""),127.26)</f>
        <v>127.26</v>
      </c>
      <c r="C13" s="2">
        <f>IFERROR(__xludf.DUMMYFUNCTION("""COMPUTED_VALUE"""),129.99)</f>
        <v>129.99</v>
      </c>
      <c r="D13" s="2">
        <f>IFERROR(__xludf.DUMMYFUNCTION("""COMPUTED_VALUE"""),124.31)</f>
        <v>124.31</v>
      </c>
      <c r="E13" s="2">
        <f>IFERROR(__xludf.DUMMYFUNCTION("""COMPUTED_VALUE"""),127.17)</f>
        <v>127.17</v>
      </c>
      <c r="F13" s="2">
        <f>IFERROR(__xludf.DUMMYFUNCTION("""COMPUTED_VALUE"""),1.7029188E8)</f>
        <v>170291880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IFERROR(__xludf.DUMMYFUNCTION("""COMPUTED_VALUE"""),128.68)</f>
        <v>128.68</v>
      </c>
      <c r="C14" s="2">
        <f>IFERROR(__xludf.DUMMYFUNCTION("""COMPUTED_VALUE"""),133.51)</f>
        <v>133.51</v>
      </c>
      <c r="D14" s="2">
        <f>IFERROR(__xludf.DUMMYFUNCTION("""COMPUTED_VALUE"""),127.35)</f>
        <v>127.35</v>
      </c>
      <c r="E14" s="2">
        <f>IFERROR(__xludf.DUMMYFUNCTION("""COMPUTED_VALUE"""),133.42)</f>
        <v>133.42</v>
      </c>
      <c r="F14" s="2">
        <f>IFERROR(__xludf.DUMMYFUNCTION("""COMPUTED_VALUE"""),1.38858136E8)</f>
        <v>138858136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IFERROR(__xludf.DUMMYFUNCTION("""COMPUTED_VALUE"""),135.87)</f>
        <v>135.87</v>
      </c>
      <c r="C15" s="2">
        <f>IFERROR(__xludf.DUMMYFUNCTION("""COMPUTED_VALUE"""),145.38)</f>
        <v>145.38</v>
      </c>
      <c r="D15" s="2">
        <f>IFERROR(__xludf.DUMMYFUNCTION("""COMPUTED_VALUE"""),134.27)</f>
        <v>134.27</v>
      </c>
      <c r="E15" s="2">
        <f>IFERROR(__xludf.DUMMYFUNCTION("""COMPUTED_VALUE"""),143.75)</f>
        <v>143.75</v>
      </c>
      <c r="F15" s="2">
        <f>IFERROR(__xludf.DUMMYFUNCTION("""COMPUTED_VALUE"""),2.03119211E8)</f>
        <v>203119211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IFERROR(__xludf.DUMMYFUNCTION("""COMPUTED_VALUE"""),143.0)</f>
        <v>143</v>
      </c>
      <c r="C16" s="2">
        <f>IFERROR(__xludf.DUMMYFUNCTION("""COMPUTED_VALUE"""),146.5)</f>
        <v>146.5</v>
      </c>
      <c r="D16" s="2">
        <f>IFERROR(__xludf.DUMMYFUNCTION("""COMPUTED_VALUE"""),141.1)</f>
        <v>141.1</v>
      </c>
      <c r="E16" s="2">
        <f>IFERROR(__xludf.DUMMYFUNCTION("""COMPUTED_VALUE"""),143.89)</f>
        <v>143.89</v>
      </c>
      <c r="F16" s="2">
        <f>IFERROR(__xludf.DUMMYFUNCTION("""COMPUTED_VALUE"""),1.58699056E8)</f>
        <v>158699056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IFERROR(__xludf.DUMMYFUNCTION("""COMPUTED_VALUE"""),141.91)</f>
        <v>141.91</v>
      </c>
      <c r="C17" s="2">
        <f>IFERROR(__xludf.DUMMYFUNCTION("""COMPUTED_VALUE"""),146.41)</f>
        <v>146.41</v>
      </c>
      <c r="D17" s="2">
        <f>IFERROR(__xludf.DUMMYFUNCTION("""COMPUTED_VALUE"""),138.07)</f>
        <v>138.07</v>
      </c>
      <c r="E17" s="2">
        <f>IFERROR(__xludf.DUMMYFUNCTION("""COMPUTED_VALUE"""),144.43)</f>
        <v>144.43</v>
      </c>
      <c r="F17" s="2">
        <f>IFERROR(__xludf.DUMMYFUNCTION("""COMPUTED_VALUE"""),1.92734347E8)</f>
        <v>192734347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IFERROR(__xludf.DUMMYFUNCTION("""COMPUTED_VALUE"""),159.97)</f>
        <v>159.97</v>
      </c>
      <c r="C18" s="2">
        <f>IFERROR(__xludf.DUMMYFUNCTION("""COMPUTED_VALUE"""),161.42)</f>
        <v>161.42</v>
      </c>
      <c r="D18" s="2">
        <f>IFERROR(__xludf.DUMMYFUNCTION("""COMPUTED_VALUE"""),154.76)</f>
        <v>154.76</v>
      </c>
      <c r="E18" s="2">
        <f>IFERROR(__xludf.DUMMYFUNCTION("""COMPUTED_VALUE"""),160.27)</f>
        <v>160.27</v>
      </c>
      <c r="F18" s="2">
        <f>IFERROR(__xludf.DUMMYFUNCTION("""COMPUTED_VALUE"""),2.3481509E8)</f>
        <v>234815090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IFERROR(__xludf.DUMMYFUNCTION("""COMPUTED_VALUE"""),162.43)</f>
        <v>162.43</v>
      </c>
      <c r="C19" s="2">
        <f>IFERROR(__xludf.DUMMYFUNCTION("""COMPUTED_VALUE"""),180.68)</f>
        <v>180.68</v>
      </c>
      <c r="D19" s="2">
        <f>IFERROR(__xludf.DUMMYFUNCTION("""COMPUTED_VALUE"""),161.17)</f>
        <v>161.17</v>
      </c>
      <c r="E19" s="2">
        <f>IFERROR(__xludf.DUMMYFUNCTION("""COMPUTED_VALUE"""),177.9)</f>
        <v>177.9</v>
      </c>
      <c r="F19" s="2">
        <f>IFERROR(__xludf.DUMMYFUNCTION("""COMPUTED_VALUE"""),3.06590613E8)</f>
        <v>306590613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IFERROR(__xludf.DUMMYFUNCTION("""COMPUTED_VALUE"""),178.05)</f>
        <v>178.05</v>
      </c>
      <c r="C20" s="2">
        <f>IFERROR(__xludf.DUMMYFUNCTION("""COMPUTED_VALUE"""),179.77)</f>
        <v>179.77</v>
      </c>
      <c r="D20" s="2">
        <f>IFERROR(__xludf.DUMMYFUNCTION("""COMPUTED_VALUE"""),166.5)</f>
        <v>166.5</v>
      </c>
      <c r="E20" s="2">
        <f>IFERROR(__xludf.DUMMYFUNCTION("""COMPUTED_VALUE"""),166.66)</f>
        <v>166.66</v>
      </c>
      <c r="F20" s="2">
        <f>IFERROR(__xludf.DUMMYFUNCTION("""COMPUTED_VALUE"""),2.30878807E8)</f>
        <v>230878807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IFERROR(__xludf.DUMMYFUNCTION("""COMPUTED_VALUE"""),164.57)</f>
        <v>164.57</v>
      </c>
      <c r="C21" s="2">
        <f>IFERROR(__xludf.DUMMYFUNCTION("""COMPUTED_VALUE"""),174.3)</f>
        <v>174.3</v>
      </c>
      <c r="D21" s="2">
        <f>IFERROR(__xludf.DUMMYFUNCTION("""COMPUTED_VALUE"""),162.78)</f>
        <v>162.78</v>
      </c>
      <c r="E21" s="2">
        <f>IFERROR(__xludf.DUMMYFUNCTION("""COMPUTED_VALUE"""),173.22)</f>
        <v>173.22</v>
      </c>
      <c r="F21" s="2">
        <f>IFERROR(__xludf.DUMMYFUNCTION("""COMPUTED_VALUE"""),1.96813541E8)</f>
        <v>196813541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IFERROR(__xludf.DUMMYFUNCTION("""COMPUTED_VALUE"""),173.89)</f>
        <v>173.89</v>
      </c>
      <c r="C22" s="2">
        <f>IFERROR(__xludf.DUMMYFUNCTION("""COMPUTED_VALUE"""),183.81)</f>
        <v>183.81</v>
      </c>
      <c r="D22" s="2">
        <f>IFERROR(__xludf.DUMMYFUNCTION("""COMPUTED_VALUE"""),169.93)</f>
        <v>169.93</v>
      </c>
      <c r="E22" s="2">
        <f>IFERROR(__xludf.DUMMYFUNCTION("""COMPUTED_VALUE"""),181.41)</f>
        <v>181.41</v>
      </c>
      <c r="F22" s="2">
        <f>IFERROR(__xludf.DUMMYFUNCTION("""COMPUTED_VALUE"""),2.13806323E8)</f>
        <v>213806323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IFERROR(__xludf.DUMMYFUNCTION("""COMPUTED_VALUE"""),187.33)</f>
        <v>187.33</v>
      </c>
      <c r="C23" s="2">
        <f>IFERROR(__xludf.DUMMYFUNCTION("""COMPUTED_VALUE"""),196.75)</f>
        <v>196.75</v>
      </c>
      <c r="D23" s="2">
        <f>IFERROR(__xludf.DUMMYFUNCTION("""COMPUTED_VALUE"""),182.61)</f>
        <v>182.61</v>
      </c>
      <c r="E23" s="2">
        <f>IFERROR(__xludf.DUMMYFUNCTION("""COMPUTED_VALUE"""),188.27)</f>
        <v>188.27</v>
      </c>
      <c r="F23" s="2">
        <f>IFERROR(__xludf.DUMMYFUNCTION("""COMPUTED_VALUE"""),2.17448287E8)</f>
        <v>217448287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IFERROR(__xludf.DUMMYFUNCTION("""COMPUTED_VALUE"""),183.95)</f>
        <v>183.95</v>
      </c>
      <c r="C24" s="2">
        <f>IFERROR(__xludf.DUMMYFUNCTION("""COMPUTED_VALUE"""),199.0)</f>
        <v>199</v>
      </c>
      <c r="D24" s="2">
        <f>IFERROR(__xludf.DUMMYFUNCTION("""COMPUTED_VALUE"""),183.69)</f>
        <v>183.69</v>
      </c>
      <c r="E24" s="2">
        <f>IFERROR(__xludf.DUMMYFUNCTION("""COMPUTED_VALUE"""),189.98)</f>
        <v>189.98</v>
      </c>
      <c r="F24" s="2">
        <f>IFERROR(__xludf.DUMMYFUNCTION("""COMPUTED_VALUE"""),2.32662023E8)</f>
        <v>232662023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IFERROR(__xludf.DUMMYFUNCTION("""COMPUTED_VALUE"""),193.01)</f>
        <v>193.01</v>
      </c>
      <c r="C25" s="2">
        <f>IFERROR(__xludf.DUMMYFUNCTION("""COMPUTED_VALUE"""),198.17)</f>
        <v>198.17</v>
      </c>
      <c r="D25" s="2">
        <f>IFERROR(__xludf.DUMMYFUNCTION("""COMPUTED_VALUE"""),189.92)</f>
        <v>189.92</v>
      </c>
      <c r="E25" s="2">
        <f>IFERROR(__xludf.DUMMYFUNCTION("""COMPUTED_VALUE"""),194.76)</f>
        <v>194.76</v>
      </c>
      <c r="F25" s="2">
        <f>IFERROR(__xludf.DUMMYFUNCTION("""COMPUTED_VALUE"""),1.86188131E8)</f>
        <v>186188131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IFERROR(__xludf.DUMMYFUNCTION("""COMPUTED_VALUE"""),196.43)</f>
        <v>196.43</v>
      </c>
      <c r="C26" s="2">
        <f>IFERROR(__xludf.DUMMYFUNCTION("""COMPUTED_VALUE"""),197.5)</f>
        <v>197.5</v>
      </c>
      <c r="D26" s="2">
        <f>IFERROR(__xludf.DUMMYFUNCTION("""COMPUTED_VALUE"""),189.55)</f>
        <v>189.55</v>
      </c>
      <c r="E26" s="2">
        <f>IFERROR(__xludf.DUMMYFUNCTION("""COMPUTED_VALUE"""),196.81)</f>
        <v>196.81</v>
      </c>
      <c r="F26" s="2">
        <f>IFERROR(__xludf.DUMMYFUNCTION("""COMPUTED_VALUE"""),1.86010325E8)</f>
        <v>186010325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IFERROR(__xludf.DUMMYFUNCTION("""COMPUTED_VALUE"""),196.1)</f>
        <v>196.1</v>
      </c>
      <c r="C27" s="2">
        <f>IFERROR(__xludf.DUMMYFUNCTION("""COMPUTED_VALUE"""),203.0)</f>
        <v>203</v>
      </c>
      <c r="D27" s="2">
        <f>IFERROR(__xludf.DUMMYFUNCTION("""COMPUTED_VALUE"""),194.31)</f>
        <v>194.31</v>
      </c>
      <c r="E27" s="2">
        <f>IFERROR(__xludf.DUMMYFUNCTION("""COMPUTED_VALUE"""),201.29)</f>
        <v>201.29</v>
      </c>
      <c r="F27" s="2">
        <f>IFERROR(__xludf.DUMMYFUNCTION("""COMPUTED_VALUE"""),1.80673644E8)</f>
        <v>180673644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IFERROR(__xludf.DUMMYFUNCTION("""COMPUTED_VALUE"""),207.78)</f>
        <v>207.78</v>
      </c>
      <c r="C28" s="2">
        <f>IFERROR(__xludf.DUMMYFUNCTION("""COMPUTED_VALUE"""),214.0)</f>
        <v>214</v>
      </c>
      <c r="D28" s="2">
        <f>IFERROR(__xludf.DUMMYFUNCTION("""COMPUTED_VALUE"""),204.77)</f>
        <v>204.77</v>
      </c>
      <c r="E28" s="2">
        <f>IFERROR(__xludf.DUMMYFUNCTION("""COMPUTED_VALUE"""),207.32)</f>
        <v>207.32</v>
      </c>
      <c r="F28" s="2">
        <f>IFERROR(__xludf.DUMMYFUNCTION("""COMPUTED_VALUE"""),2.15431442E8)</f>
        <v>215431442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IFERROR(__xludf.DUMMYFUNCTION("""COMPUTED_VALUE"""),202.23)</f>
        <v>202.23</v>
      </c>
      <c r="C29" s="2">
        <f>IFERROR(__xludf.DUMMYFUNCTION("""COMPUTED_VALUE"""),206.2)</f>
        <v>206.2</v>
      </c>
      <c r="D29" s="2">
        <f>IFERROR(__xludf.DUMMYFUNCTION("""COMPUTED_VALUE"""),192.89)</f>
        <v>192.89</v>
      </c>
      <c r="E29" s="2">
        <f>IFERROR(__xludf.DUMMYFUNCTION("""COMPUTED_VALUE"""),196.89)</f>
        <v>196.89</v>
      </c>
      <c r="F29" s="2">
        <f>IFERROR(__xludf.DUMMYFUNCTION("""COMPUTED_VALUE"""),2.04754129E8)</f>
        <v>204754129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IFERROR(__xludf.DUMMYFUNCTION("""COMPUTED_VALUE"""),194.42)</f>
        <v>194.42</v>
      </c>
      <c r="C30" s="2">
        <f>IFERROR(__xludf.DUMMYFUNCTION("""COMPUTED_VALUE"""),196.3)</f>
        <v>196.3</v>
      </c>
      <c r="D30" s="2">
        <f>IFERROR(__xludf.DUMMYFUNCTION("""COMPUTED_VALUE"""),187.61)</f>
        <v>187.61</v>
      </c>
      <c r="E30" s="2">
        <f>IFERROR(__xludf.DUMMYFUNCTION("""COMPUTED_VALUE"""),194.64)</f>
        <v>194.64</v>
      </c>
      <c r="F30" s="2">
        <f>IFERROR(__xludf.DUMMYFUNCTION("""COMPUTED_VALUE"""),1.72475452E8)</f>
        <v>172475452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IFERROR(__xludf.DUMMYFUNCTION("""COMPUTED_VALUE"""),191.94)</f>
        <v>191.94</v>
      </c>
      <c r="C31" s="2">
        <f>IFERROR(__xludf.DUMMYFUNCTION("""COMPUTED_VALUE"""),209.82)</f>
        <v>209.82</v>
      </c>
      <c r="D31" s="2">
        <f>IFERROR(__xludf.DUMMYFUNCTION("""COMPUTED_VALUE"""),189.44)</f>
        <v>189.44</v>
      </c>
      <c r="E31" s="2">
        <f>IFERROR(__xludf.DUMMYFUNCTION("""COMPUTED_VALUE"""),209.25)</f>
        <v>209.25</v>
      </c>
      <c r="F31" s="2">
        <f>IFERROR(__xludf.DUMMYFUNCTION("""COMPUTED_VALUE"""),2.16455708E8)</f>
        <v>216455708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IFERROR(__xludf.DUMMYFUNCTION("""COMPUTED_VALUE"""),211.76)</f>
        <v>211.76</v>
      </c>
      <c r="C32" s="2">
        <f>IFERROR(__xludf.DUMMYFUNCTION("""COMPUTED_VALUE"""),214.66)</f>
        <v>214.66</v>
      </c>
      <c r="D32" s="2">
        <f>IFERROR(__xludf.DUMMYFUNCTION("""COMPUTED_VALUE"""),206.11)</f>
        <v>206.11</v>
      </c>
      <c r="E32" s="2">
        <f>IFERROR(__xludf.DUMMYFUNCTION("""COMPUTED_VALUE"""),214.24)</f>
        <v>214.24</v>
      </c>
      <c r="F32" s="2">
        <f>IFERROR(__xludf.DUMMYFUNCTION("""COMPUTED_VALUE"""),1.82108581E8)</f>
        <v>182108581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IFERROR(__xludf.DUMMYFUNCTION("""COMPUTED_VALUE"""),210.78)</f>
        <v>210.78</v>
      </c>
      <c r="C33" s="2">
        <f>IFERROR(__xludf.DUMMYFUNCTION("""COMPUTED_VALUE"""),217.65)</f>
        <v>217.65</v>
      </c>
      <c r="D33" s="2">
        <f>IFERROR(__xludf.DUMMYFUNCTION("""COMPUTED_VALUE"""),201.84)</f>
        <v>201.84</v>
      </c>
      <c r="E33" s="2">
        <f>IFERROR(__xludf.DUMMYFUNCTION("""COMPUTED_VALUE"""),202.04)</f>
        <v>202.04</v>
      </c>
      <c r="F33" s="2">
        <f>IFERROR(__xludf.DUMMYFUNCTION("""COMPUTED_VALUE"""),2.29586538E8)</f>
        <v>229586538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IFERROR(__xludf.DUMMYFUNCTION("""COMPUTED_VALUE"""),199.99)</f>
        <v>199.99</v>
      </c>
      <c r="C34" s="2">
        <f>IFERROR(__xludf.DUMMYFUNCTION("""COMPUTED_VALUE"""),208.44)</f>
        <v>208.44</v>
      </c>
      <c r="D34" s="2">
        <f>IFERROR(__xludf.DUMMYFUNCTION("""COMPUTED_VALUE"""),197.5)</f>
        <v>197.5</v>
      </c>
      <c r="E34" s="2">
        <f>IFERROR(__xludf.DUMMYFUNCTION("""COMPUTED_VALUE"""),208.31)</f>
        <v>208.31</v>
      </c>
      <c r="F34" s="2">
        <f>IFERROR(__xludf.DUMMYFUNCTION("""COMPUTED_VALUE"""),2.13738549E8)</f>
        <v>213738549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IFERROR(__xludf.DUMMYFUNCTION("""COMPUTED_VALUE"""),204.99)</f>
        <v>204.99</v>
      </c>
      <c r="C35" s="2">
        <f>IFERROR(__xludf.DUMMYFUNCTION("""COMPUTED_VALUE"""),209.71)</f>
        <v>209.71</v>
      </c>
      <c r="D35" s="2">
        <f>IFERROR(__xludf.DUMMYFUNCTION("""COMPUTED_VALUE"""),197.22)</f>
        <v>197.22</v>
      </c>
      <c r="E35" s="2">
        <f>IFERROR(__xludf.DUMMYFUNCTION("""COMPUTED_VALUE"""),197.37)</f>
        <v>197.37</v>
      </c>
      <c r="F35" s="2">
        <f>IFERROR(__xludf.DUMMYFUNCTION("""COMPUTED_VALUE"""),1.80018588E8)</f>
        <v>180018588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IFERROR(__xludf.DUMMYFUNCTION("""COMPUTED_VALUE"""),197.93)</f>
        <v>197.93</v>
      </c>
      <c r="C36" s="2">
        <f>IFERROR(__xludf.DUMMYFUNCTION("""COMPUTED_VALUE"""),201.99)</f>
        <v>201.99</v>
      </c>
      <c r="D36" s="2">
        <f>IFERROR(__xludf.DUMMYFUNCTION("""COMPUTED_VALUE"""),191.78)</f>
        <v>191.78</v>
      </c>
      <c r="E36" s="2">
        <f>IFERROR(__xludf.DUMMYFUNCTION("""COMPUTED_VALUE"""),200.86)</f>
        <v>200.86</v>
      </c>
      <c r="F36" s="2">
        <f>IFERROR(__xludf.DUMMYFUNCTION("""COMPUTED_VALUE"""),1.91828457E8)</f>
        <v>191828457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IFERROR(__xludf.DUMMYFUNCTION("""COMPUTED_VALUE"""),203.91)</f>
        <v>203.91</v>
      </c>
      <c r="C37" s="2">
        <f>IFERROR(__xludf.DUMMYFUNCTION("""COMPUTED_VALUE"""),205.14)</f>
        <v>205.14</v>
      </c>
      <c r="D37" s="2">
        <f>IFERROR(__xludf.DUMMYFUNCTION("""COMPUTED_VALUE"""),196.33)</f>
        <v>196.33</v>
      </c>
      <c r="E37" s="2">
        <f>IFERROR(__xludf.DUMMYFUNCTION("""COMPUTED_VALUE"""),202.07)</f>
        <v>202.07</v>
      </c>
      <c r="F37" s="2">
        <f>IFERROR(__xludf.DUMMYFUNCTION("""COMPUTED_VALUE"""),1.4635995E8)</f>
        <v>146359950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IFERROR(__xludf.DUMMYFUNCTION("""COMPUTED_VALUE"""),196.33)</f>
        <v>196.33</v>
      </c>
      <c r="C38" s="2">
        <f>IFERROR(__xludf.DUMMYFUNCTION("""COMPUTED_VALUE"""),197.67)</f>
        <v>197.67</v>
      </c>
      <c r="D38" s="2">
        <f>IFERROR(__xludf.DUMMYFUNCTION("""COMPUTED_VALUE"""),192.8)</f>
        <v>192.8</v>
      </c>
      <c r="E38" s="2">
        <f>IFERROR(__xludf.DUMMYFUNCTION("""COMPUTED_VALUE"""),196.88)</f>
        <v>196.88</v>
      </c>
      <c r="F38" s="2">
        <f>IFERROR(__xludf.DUMMYFUNCTION("""COMPUTED_VALUE"""),1.42228105E8)</f>
        <v>142228105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IFERROR(__xludf.DUMMYFUNCTION("""COMPUTED_VALUE"""),202.03)</f>
        <v>202.03</v>
      </c>
      <c r="C39" s="2">
        <f>IFERROR(__xludf.DUMMYFUNCTION("""COMPUTED_VALUE"""),209.42)</f>
        <v>209.42</v>
      </c>
      <c r="D39" s="2">
        <f>IFERROR(__xludf.DUMMYFUNCTION("""COMPUTED_VALUE"""),201.26)</f>
        <v>201.26</v>
      </c>
      <c r="E39" s="2">
        <f>IFERROR(__xludf.DUMMYFUNCTION("""COMPUTED_VALUE"""),207.63)</f>
        <v>207.63</v>
      </c>
      <c r="F39" s="2">
        <f>IFERROR(__xludf.DUMMYFUNCTION("""COMPUTED_VALUE"""),1.61028315E8)</f>
        <v>161028315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IFERROR(__xludf.DUMMYFUNCTION("""COMPUTED_VALUE"""),210.59)</f>
        <v>210.59</v>
      </c>
      <c r="C40" s="2">
        <f>IFERROR(__xludf.DUMMYFUNCTION("""COMPUTED_VALUE"""),211.23)</f>
        <v>211.23</v>
      </c>
      <c r="D40" s="2">
        <f>IFERROR(__xludf.DUMMYFUNCTION("""COMPUTED_VALUE"""),203.75)</f>
        <v>203.75</v>
      </c>
      <c r="E40" s="2">
        <f>IFERROR(__xludf.DUMMYFUNCTION("""COMPUTED_VALUE"""),205.71)</f>
        <v>205.71</v>
      </c>
      <c r="F40" s="2">
        <f>IFERROR(__xludf.DUMMYFUNCTION("""COMPUTED_VALUE"""),1.53144912E8)</f>
        <v>153144912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IFERROR(__xludf.DUMMYFUNCTION("""COMPUTED_VALUE"""),206.21)</f>
        <v>206.21</v>
      </c>
      <c r="C41" s="2">
        <f>IFERROR(__xludf.DUMMYFUNCTION("""COMPUTED_VALUE"""),207.2)</f>
        <v>207.2</v>
      </c>
      <c r="D41" s="2">
        <f>IFERROR(__xludf.DUMMYFUNCTION("""COMPUTED_VALUE"""),198.52)</f>
        <v>198.52</v>
      </c>
      <c r="E41" s="2">
        <f>IFERROR(__xludf.DUMMYFUNCTION("""COMPUTED_VALUE"""),202.77)</f>
        <v>202.77</v>
      </c>
      <c r="F41" s="2">
        <f>IFERROR(__xludf.DUMMYFUNCTION("""COMPUTED_VALUE"""),1.5685279E8)</f>
        <v>156852790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IFERROR(__xludf.DUMMYFUNCTION("""COMPUTED_VALUE"""),186.74)</f>
        <v>186.74</v>
      </c>
      <c r="C42" s="2">
        <f>IFERROR(__xludf.DUMMYFUNCTION("""COMPUTED_VALUE"""),193.75)</f>
        <v>193.75</v>
      </c>
      <c r="D42" s="2">
        <f>IFERROR(__xludf.DUMMYFUNCTION("""COMPUTED_VALUE"""),186.01)</f>
        <v>186.01</v>
      </c>
      <c r="E42" s="2">
        <f>IFERROR(__xludf.DUMMYFUNCTION("""COMPUTED_VALUE"""),190.9)</f>
        <v>190.9</v>
      </c>
      <c r="F42" s="2">
        <f>IFERROR(__xludf.DUMMYFUNCTION("""COMPUTED_VALUE"""),1.81979154E8)</f>
        <v>181979154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IFERROR(__xludf.DUMMYFUNCTION("""COMPUTED_VALUE"""),194.8)</f>
        <v>194.8</v>
      </c>
      <c r="C43" s="2">
        <f>IFERROR(__xludf.DUMMYFUNCTION("""COMPUTED_VALUE"""),200.48)</f>
        <v>200.48</v>
      </c>
      <c r="D43" s="2">
        <f>IFERROR(__xludf.DUMMYFUNCTION("""COMPUTED_VALUE"""),192.88)</f>
        <v>192.88</v>
      </c>
      <c r="E43" s="2">
        <f>IFERROR(__xludf.DUMMYFUNCTION("""COMPUTED_VALUE"""),197.79)</f>
        <v>197.79</v>
      </c>
      <c r="F43" s="2">
        <f>IFERROR(__xludf.DUMMYFUNCTION("""COMPUTED_VALUE"""),1.54193277E8)</f>
        <v>154193277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IFERROR(__xludf.DUMMYFUNCTION("""COMPUTED_VALUE"""),198.54)</f>
        <v>198.54</v>
      </c>
      <c r="C44" s="2">
        <f>IFERROR(__xludf.DUMMYFUNCTION("""COMPUTED_VALUE"""),198.6)</f>
        <v>198.6</v>
      </c>
      <c r="D44" s="2">
        <f>IFERROR(__xludf.DUMMYFUNCTION("""COMPUTED_VALUE"""),192.3)</f>
        <v>192.3</v>
      </c>
      <c r="E44" s="2">
        <f>IFERROR(__xludf.DUMMYFUNCTION("""COMPUTED_VALUE"""),193.81)</f>
        <v>193.81</v>
      </c>
      <c r="F44" s="2">
        <f>IFERROR(__xludf.DUMMYFUNCTION("""COMPUTED_VALUE"""),1.28100106E8)</f>
        <v>128100106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IFERROR(__xludf.DUMMYFUNCTION("""COMPUTED_VALUE"""),191.38)</f>
        <v>191.38</v>
      </c>
      <c r="C45" s="2">
        <f>IFERROR(__xludf.DUMMYFUNCTION("""COMPUTED_VALUE"""),194.2)</f>
        <v>194.2</v>
      </c>
      <c r="D45" s="2">
        <f>IFERROR(__xludf.DUMMYFUNCTION("""COMPUTED_VALUE"""),186.1)</f>
        <v>186.1</v>
      </c>
      <c r="E45" s="2">
        <f>IFERROR(__xludf.DUMMYFUNCTION("""COMPUTED_VALUE"""),187.71)</f>
        <v>187.71</v>
      </c>
      <c r="F45" s="2">
        <f>IFERROR(__xludf.DUMMYFUNCTION("""COMPUTED_VALUE"""),1.4812579E8)</f>
        <v>148125790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IFERROR(__xludf.DUMMYFUNCTION("""COMPUTED_VALUE"""),185.04)</f>
        <v>185.04</v>
      </c>
      <c r="C46" s="2">
        <f>IFERROR(__xludf.DUMMYFUNCTION("""COMPUTED_VALUE"""),186.5)</f>
        <v>186.5</v>
      </c>
      <c r="D46" s="2">
        <f>IFERROR(__xludf.DUMMYFUNCTION("""COMPUTED_VALUE"""),180.0)</f>
        <v>180</v>
      </c>
      <c r="E46" s="2">
        <f>IFERROR(__xludf.DUMMYFUNCTION("""COMPUTED_VALUE"""),182.0)</f>
        <v>182</v>
      </c>
      <c r="F46" s="2">
        <f>IFERROR(__xludf.DUMMYFUNCTION("""COMPUTED_VALUE"""),1.51897763E8)</f>
        <v>151897763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IFERROR(__xludf.DUMMYFUNCTION("""COMPUTED_VALUE"""),180.25)</f>
        <v>180.25</v>
      </c>
      <c r="C47" s="2">
        <f>IFERROR(__xludf.DUMMYFUNCTION("""COMPUTED_VALUE"""),185.18)</f>
        <v>185.18</v>
      </c>
      <c r="D47" s="2">
        <f>IFERROR(__xludf.DUMMYFUNCTION("""COMPUTED_VALUE"""),172.51)</f>
        <v>172.51</v>
      </c>
      <c r="E47" s="2">
        <f>IFERROR(__xludf.DUMMYFUNCTION("""COMPUTED_VALUE"""),172.92)</f>
        <v>172.92</v>
      </c>
      <c r="F47" s="2">
        <f>IFERROR(__xludf.DUMMYFUNCTION("""COMPUTED_VALUE"""),1.70023794E8)</f>
        <v>170023794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IFERROR(__xludf.DUMMYFUNCTION("""COMPUTED_VALUE"""),175.13)</f>
        <v>175.13</v>
      </c>
      <c r="C48" s="2">
        <f>IFERROR(__xludf.DUMMYFUNCTION("""COMPUTED_VALUE"""),178.29)</f>
        <v>178.29</v>
      </c>
      <c r="D48" s="2">
        <f>IFERROR(__xludf.DUMMYFUNCTION("""COMPUTED_VALUE"""),168.44)</f>
        <v>168.44</v>
      </c>
      <c r="E48" s="2">
        <f>IFERROR(__xludf.DUMMYFUNCTION("""COMPUTED_VALUE"""),173.44)</f>
        <v>173.44</v>
      </c>
      <c r="F48" s="2">
        <f>IFERROR(__xludf.DUMMYFUNCTION("""COMPUTED_VALUE"""),1.91488872E8)</f>
        <v>191488872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IFERROR(__xludf.DUMMYFUNCTION("""COMPUTED_VALUE"""),167.46)</f>
        <v>167.46</v>
      </c>
      <c r="C49" s="2">
        <f>IFERROR(__xludf.DUMMYFUNCTION("""COMPUTED_VALUE"""),177.35)</f>
        <v>177.35</v>
      </c>
      <c r="D49" s="2">
        <f>IFERROR(__xludf.DUMMYFUNCTION("""COMPUTED_VALUE"""),163.91)</f>
        <v>163.91</v>
      </c>
      <c r="E49" s="2">
        <f>IFERROR(__xludf.DUMMYFUNCTION("""COMPUTED_VALUE"""),174.48)</f>
        <v>174.48</v>
      </c>
      <c r="F49" s="2">
        <f>IFERROR(__xludf.DUMMYFUNCTION("""COMPUTED_VALUE"""),1.67790256E8)</f>
        <v>167790256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IFERROR(__xludf.DUMMYFUNCTION("""COMPUTED_VALUE"""),177.31)</f>
        <v>177.31</v>
      </c>
      <c r="C50" s="2">
        <f>IFERROR(__xludf.DUMMYFUNCTION("""COMPUTED_VALUE"""),183.8)</f>
        <v>183.8</v>
      </c>
      <c r="D50" s="2">
        <f>IFERROR(__xludf.DUMMYFUNCTION("""COMPUTED_VALUE"""),177.14)</f>
        <v>177.14</v>
      </c>
      <c r="E50" s="2">
        <f>IFERROR(__xludf.DUMMYFUNCTION("""COMPUTED_VALUE"""),183.26)</f>
        <v>183.26</v>
      </c>
      <c r="F50" s="2">
        <f>IFERROR(__xludf.DUMMYFUNCTION("""COMPUTED_VALUE"""),1.43717897E8)</f>
        <v>143717897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IFERROR(__xludf.DUMMYFUNCTION("""COMPUTED_VALUE"""),180.8)</f>
        <v>180.8</v>
      </c>
      <c r="C51" s="2">
        <f>IFERROR(__xludf.DUMMYFUNCTION("""COMPUTED_VALUE"""),182.34)</f>
        <v>182.34</v>
      </c>
      <c r="D51" s="2">
        <f>IFERROR(__xludf.DUMMYFUNCTION("""COMPUTED_VALUE"""),176.03)</f>
        <v>176.03</v>
      </c>
      <c r="E51" s="2">
        <f>IFERROR(__xludf.DUMMYFUNCTION("""COMPUTED_VALUE"""),180.45)</f>
        <v>180.45</v>
      </c>
      <c r="F51" s="2">
        <f>IFERROR(__xludf.DUMMYFUNCTION("""COMPUTED_VALUE"""),1.45995583E8)</f>
        <v>145995583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IFERROR(__xludf.DUMMYFUNCTION("""COMPUTED_VALUE"""),180.37)</f>
        <v>180.37</v>
      </c>
      <c r="C52" s="2">
        <f>IFERROR(__xludf.DUMMYFUNCTION("""COMPUTED_VALUE"""),185.81)</f>
        <v>185.81</v>
      </c>
      <c r="D52" s="2">
        <f>IFERROR(__xludf.DUMMYFUNCTION("""COMPUTED_VALUE"""),178.84)</f>
        <v>178.84</v>
      </c>
      <c r="E52" s="2">
        <f>IFERROR(__xludf.DUMMYFUNCTION("""COMPUTED_VALUE"""),184.13)</f>
        <v>184.13</v>
      </c>
      <c r="F52" s="2">
        <f>IFERROR(__xludf.DUMMYFUNCTION("""COMPUTED_VALUE"""),1.21374453E8)</f>
        <v>121374453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IFERROR(__xludf.DUMMYFUNCTION("""COMPUTED_VALUE"""),184.52)</f>
        <v>184.52</v>
      </c>
      <c r="C53" s="2">
        <f>IFERROR(__xludf.DUMMYFUNCTION("""COMPUTED_VALUE"""),186.22)</f>
        <v>186.22</v>
      </c>
      <c r="D53" s="2">
        <f>IFERROR(__xludf.DUMMYFUNCTION("""COMPUTED_VALUE"""),177.33)</f>
        <v>177.33</v>
      </c>
      <c r="E53" s="2">
        <f>IFERROR(__xludf.DUMMYFUNCTION("""COMPUTED_VALUE"""),180.13)</f>
        <v>180.13</v>
      </c>
      <c r="F53" s="2">
        <f>IFERROR(__xludf.DUMMYFUNCTION("""COMPUTED_VALUE"""),1.3319714E8)</f>
        <v>133197140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IFERROR(__xludf.DUMMYFUNCTION("""COMPUTED_VALUE"""),178.08)</f>
        <v>178.08</v>
      </c>
      <c r="C54" s="2">
        <f>IFERROR(__xludf.DUMMYFUNCTION("""COMPUTED_VALUE"""),186.44)</f>
        <v>186.44</v>
      </c>
      <c r="D54" s="2">
        <f>IFERROR(__xludf.DUMMYFUNCTION("""COMPUTED_VALUE"""),176.35)</f>
        <v>176.35</v>
      </c>
      <c r="E54" s="2">
        <f>IFERROR(__xludf.DUMMYFUNCTION("""COMPUTED_VALUE"""),183.25)</f>
        <v>183.25</v>
      </c>
      <c r="F54" s="2">
        <f>IFERROR(__xludf.DUMMYFUNCTION("""COMPUTED_VALUE"""),1.29684359E8)</f>
        <v>129684359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IFERROR(__xludf.DUMMYFUNCTION("""COMPUTED_VALUE"""),188.28)</f>
        <v>188.28</v>
      </c>
      <c r="C55" s="2">
        <f>IFERROR(__xludf.DUMMYFUNCTION("""COMPUTED_VALUE"""),198.0)</f>
        <v>198</v>
      </c>
      <c r="D55" s="2">
        <f>IFERROR(__xludf.DUMMYFUNCTION("""COMPUTED_VALUE"""),188.04)</f>
        <v>188.04</v>
      </c>
      <c r="E55" s="2">
        <f>IFERROR(__xludf.DUMMYFUNCTION("""COMPUTED_VALUE"""),197.58)</f>
        <v>197.58</v>
      </c>
      <c r="F55" s="2">
        <f>IFERROR(__xludf.DUMMYFUNCTION("""COMPUTED_VALUE"""),1.53391444E8)</f>
        <v>153391444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IFERROR(__xludf.DUMMYFUNCTION("""COMPUTED_VALUE"""),199.3)</f>
        <v>199.3</v>
      </c>
      <c r="C56" s="2">
        <f>IFERROR(__xludf.DUMMYFUNCTION("""COMPUTED_VALUE"""),200.66)</f>
        <v>200.66</v>
      </c>
      <c r="D56" s="2">
        <f>IFERROR(__xludf.DUMMYFUNCTION("""COMPUTED_VALUE"""),190.95)</f>
        <v>190.95</v>
      </c>
      <c r="E56" s="2">
        <f>IFERROR(__xludf.DUMMYFUNCTION("""COMPUTED_VALUE"""),191.15)</f>
        <v>191.15</v>
      </c>
      <c r="F56" s="2">
        <f>IFERROR(__xludf.DUMMYFUNCTION("""COMPUTED_VALUE"""),1.50376373E8)</f>
        <v>150376373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IFERROR(__xludf.DUMMYFUNCTION("""COMPUTED_VALUE"""),195.26)</f>
        <v>195.26</v>
      </c>
      <c r="C57" s="2">
        <f>IFERROR(__xludf.DUMMYFUNCTION("""COMPUTED_VALUE"""),199.31)</f>
        <v>199.31</v>
      </c>
      <c r="D57" s="2">
        <f>IFERROR(__xludf.DUMMYFUNCTION("""COMPUTED_VALUE"""),188.65)</f>
        <v>188.65</v>
      </c>
      <c r="E57" s="2">
        <f>IFERROR(__xludf.DUMMYFUNCTION("""COMPUTED_VALUE"""),192.22)</f>
        <v>192.22</v>
      </c>
      <c r="F57" s="2">
        <f>IFERROR(__xludf.DUMMYFUNCTION("""COMPUTED_VALUE"""),1.44193876E8)</f>
        <v>144193876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IFERROR(__xludf.DUMMYFUNCTION("""COMPUTED_VALUE"""),191.65)</f>
        <v>191.65</v>
      </c>
      <c r="C58" s="2">
        <f>IFERROR(__xludf.DUMMYFUNCTION("""COMPUTED_VALUE"""),192.36)</f>
        <v>192.36</v>
      </c>
      <c r="D58" s="2">
        <f>IFERROR(__xludf.DUMMYFUNCTION("""COMPUTED_VALUE"""),187.15)</f>
        <v>187.15</v>
      </c>
      <c r="E58" s="2">
        <f>IFERROR(__xludf.DUMMYFUNCTION("""COMPUTED_VALUE"""),190.41)</f>
        <v>190.41</v>
      </c>
      <c r="F58" s="2">
        <f>IFERROR(__xludf.DUMMYFUNCTION("""COMPUTED_VALUE"""),1.16531584E8)</f>
        <v>116531584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IFERROR(__xludf.DUMMYFUNCTION("""COMPUTED_VALUE"""),194.42)</f>
        <v>194.42</v>
      </c>
      <c r="C59" s="2">
        <f>IFERROR(__xludf.DUMMYFUNCTION("""COMPUTED_VALUE"""),197.39)</f>
        <v>197.39</v>
      </c>
      <c r="D59" s="2">
        <f>IFERROR(__xludf.DUMMYFUNCTION("""COMPUTED_VALUE"""),189.94)</f>
        <v>189.94</v>
      </c>
      <c r="E59" s="2">
        <f>IFERROR(__xludf.DUMMYFUNCTION("""COMPUTED_VALUE"""),191.81)</f>
        <v>191.81</v>
      </c>
      <c r="F59" s="2">
        <f>IFERROR(__xludf.DUMMYFUNCTION("""COMPUTED_VALUE"""),1.20851587E8)</f>
        <v>120851587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IFERROR(__xludf.DUMMYFUNCTION("""COMPUTED_VALUE"""),192.0)</f>
        <v>192</v>
      </c>
      <c r="C60" s="2">
        <f>IFERROR(__xludf.DUMMYFUNCTION("""COMPUTED_VALUE"""),192.35)</f>
        <v>192.35</v>
      </c>
      <c r="D60" s="2">
        <f>IFERROR(__xludf.DUMMYFUNCTION("""COMPUTED_VALUE"""),185.43)</f>
        <v>185.43</v>
      </c>
      <c r="E60" s="2">
        <f>IFERROR(__xludf.DUMMYFUNCTION("""COMPUTED_VALUE"""),189.19)</f>
        <v>189.19</v>
      </c>
      <c r="F60" s="2">
        <f>IFERROR(__xludf.DUMMYFUNCTION("""COMPUTED_VALUE"""),9.8654635E7)</f>
        <v>98654635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IFERROR(__xludf.DUMMYFUNCTION("""COMPUTED_VALUE"""),193.13)</f>
        <v>193.13</v>
      </c>
      <c r="C61" s="2">
        <f>IFERROR(__xludf.DUMMYFUNCTION("""COMPUTED_VALUE"""),195.29)</f>
        <v>195.29</v>
      </c>
      <c r="D61" s="2">
        <f>IFERROR(__xludf.DUMMYFUNCTION("""COMPUTED_VALUE"""),189.44)</f>
        <v>189.44</v>
      </c>
      <c r="E61" s="2">
        <f>IFERROR(__xludf.DUMMYFUNCTION("""COMPUTED_VALUE"""),193.88)</f>
        <v>193.88</v>
      </c>
      <c r="F61" s="2">
        <f>IFERROR(__xludf.DUMMYFUNCTION("""COMPUTED_VALUE"""),1.23660026E8)</f>
        <v>123660026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IFERROR(__xludf.DUMMYFUNCTION("""COMPUTED_VALUE"""),195.58)</f>
        <v>195.58</v>
      </c>
      <c r="C62" s="2">
        <f>IFERROR(__xludf.DUMMYFUNCTION("""COMPUTED_VALUE"""),197.33)</f>
        <v>197.33</v>
      </c>
      <c r="D62" s="2">
        <f>IFERROR(__xludf.DUMMYFUNCTION("""COMPUTED_VALUE"""),194.42)</f>
        <v>194.42</v>
      </c>
      <c r="E62" s="2">
        <f>IFERROR(__xludf.DUMMYFUNCTION("""COMPUTED_VALUE"""),195.28)</f>
        <v>195.28</v>
      </c>
      <c r="F62" s="2">
        <f>IFERROR(__xludf.DUMMYFUNCTION("""COMPUTED_VALUE"""),1.10252238E8)</f>
        <v>110252238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IFERROR(__xludf.DUMMYFUNCTION("""COMPUTED_VALUE"""),197.53)</f>
        <v>197.53</v>
      </c>
      <c r="C63" s="2">
        <f>IFERROR(__xludf.DUMMYFUNCTION("""COMPUTED_VALUE"""),207.79)</f>
        <v>207.79</v>
      </c>
      <c r="D63" s="2">
        <f>IFERROR(__xludf.DUMMYFUNCTION("""COMPUTED_VALUE"""),197.2)</f>
        <v>197.2</v>
      </c>
      <c r="E63" s="2">
        <f>IFERROR(__xludf.DUMMYFUNCTION("""COMPUTED_VALUE"""),207.46)</f>
        <v>207.46</v>
      </c>
      <c r="F63" s="2">
        <f>IFERROR(__xludf.DUMMYFUNCTION("""COMPUTED_VALUE"""),1.70222118E8)</f>
        <v>170222118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IFERROR(__xludf.DUMMYFUNCTION("""COMPUTED_VALUE"""),199.91)</f>
        <v>199.91</v>
      </c>
      <c r="C64" s="2">
        <f>IFERROR(__xludf.DUMMYFUNCTION("""COMPUTED_VALUE"""),202.69)</f>
        <v>202.69</v>
      </c>
      <c r="D64" s="2">
        <f>IFERROR(__xludf.DUMMYFUNCTION("""COMPUTED_VALUE"""),192.2)</f>
        <v>192.2</v>
      </c>
      <c r="E64" s="2">
        <f>IFERROR(__xludf.DUMMYFUNCTION("""COMPUTED_VALUE"""),194.77)</f>
        <v>194.77</v>
      </c>
      <c r="F64" s="2">
        <f>IFERROR(__xludf.DUMMYFUNCTION("""COMPUTED_VALUE"""),1.695459E8)</f>
        <v>169545900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IFERROR(__xludf.DUMMYFUNCTION("""COMPUTED_VALUE"""),197.32)</f>
        <v>197.32</v>
      </c>
      <c r="C65" s="2">
        <f>IFERROR(__xludf.DUMMYFUNCTION("""COMPUTED_VALUE"""),198.74)</f>
        <v>198.74</v>
      </c>
      <c r="D65" s="2">
        <f>IFERROR(__xludf.DUMMYFUNCTION("""COMPUTED_VALUE"""),190.32)</f>
        <v>190.32</v>
      </c>
      <c r="E65" s="2">
        <f>IFERROR(__xludf.DUMMYFUNCTION("""COMPUTED_VALUE"""),192.58)</f>
        <v>192.58</v>
      </c>
      <c r="F65" s="2">
        <f>IFERROR(__xludf.DUMMYFUNCTION("""COMPUTED_VALUE"""),1.26463845E8)</f>
        <v>126463845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IFERROR(__xludf.DUMMYFUNCTION("""COMPUTED_VALUE"""),190.52)</f>
        <v>190.52</v>
      </c>
      <c r="C66" s="2">
        <f>IFERROR(__xludf.DUMMYFUNCTION("""COMPUTED_VALUE"""),190.68)</f>
        <v>190.68</v>
      </c>
      <c r="D66" s="2">
        <f>IFERROR(__xludf.DUMMYFUNCTION("""COMPUTED_VALUE"""),183.76)</f>
        <v>183.76</v>
      </c>
      <c r="E66" s="2">
        <f>IFERROR(__xludf.DUMMYFUNCTION("""COMPUTED_VALUE"""),185.52)</f>
        <v>185.52</v>
      </c>
      <c r="F66" s="2">
        <f>IFERROR(__xludf.DUMMYFUNCTION("""COMPUTED_VALUE"""),1.33882493E8)</f>
        <v>133882493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IFERROR(__xludf.DUMMYFUNCTION("""COMPUTED_VALUE"""),183.08)</f>
        <v>183.08</v>
      </c>
      <c r="C67" s="2">
        <f>IFERROR(__xludf.DUMMYFUNCTION("""COMPUTED_VALUE"""),186.39)</f>
        <v>186.39</v>
      </c>
      <c r="D67" s="2">
        <f>IFERROR(__xludf.DUMMYFUNCTION("""COMPUTED_VALUE"""),179.74)</f>
        <v>179.74</v>
      </c>
      <c r="E67" s="2">
        <f>IFERROR(__xludf.DUMMYFUNCTION("""COMPUTED_VALUE"""),185.06)</f>
        <v>185.06</v>
      </c>
      <c r="F67" s="2">
        <f>IFERROR(__xludf.DUMMYFUNCTION("""COMPUTED_VALUE"""),1.23857932E8)</f>
        <v>123857932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IFERROR(__xludf.DUMMYFUNCTION("""COMPUTED_VALUE"""),179.94)</f>
        <v>179.94</v>
      </c>
      <c r="C68" s="2">
        <f>IFERROR(__xludf.DUMMYFUNCTION("""COMPUTED_VALUE"""),185.1)</f>
        <v>185.1</v>
      </c>
      <c r="D68" s="2">
        <f>IFERROR(__xludf.DUMMYFUNCTION("""COMPUTED_VALUE"""),176.11)</f>
        <v>176.11</v>
      </c>
      <c r="E68" s="2">
        <f>IFERROR(__xludf.DUMMYFUNCTION("""COMPUTED_VALUE"""),184.51)</f>
        <v>184.51</v>
      </c>
      <c r="F68" s="2">
        <f>IFERROR(__xludf.DUMMYFUNCTION("""COMPUTED_VALUE"""),1.42154637E8)</f>
        <v>142154637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IFERROR(__xludf.DUMMYFUNCTION("""COMPUTED_VALUE"""),186.69)</f>
        <v>186.69</v>
      </c>
      <c r="C69" s="2">
        <f>IFERROR(__xludf.DUMMYFUNCTION("""COMPUTED_VALUE"""),189.19)</f>
        <v>189.19</v>
      </c>
      <c r="D69" s="2">
        <f>IFERROR(__xludf.DUMMYFUNCTION("""COMPUTED_VALUE"""),185.65)</f>
        <v>185.65</v>
      </c>
      <c r="E69" s="2">
        <f>IFERROR(__xludf.DUMMYFUNCTION("""COMPUTED_VALUE"""),186.79)</f>
        <v>186.79</v>
      </c>
      <c r="F69" s="2">
        <f>IFERROR(__xludf.DUMMYFUNCTION("""COMPUTED_VALUE"""),1.15770892E8)</f>
        <v>115770892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IFERROR(__xludf.DUMMYFUNCTION("""COMPUTED_VALUE"""),190.74)</f>
        <v>190.74</v>
      </c>
      <c r="C70" s="2">
        <f>IFERROR(__xludf.DUMMYFUNCTION("""COMPUTED_VALUE"""),191.58)</f>
        <v>191.58</v>
      </c>
      <c r="D70" s="2">
        <f>IFERROR(__xludf.DUMMYFUNCTION("""COMPUTED_VALUE"""),180.31)</f>
        <v>180.31</v>
      </c>
      <c r="E70" s="2">
        <f>IFERROR(__xludf.DUMMYFUNCTION("""COMPUTED_VALUE"""),180.54)</f>
        <v>180.54</v>
      </c>
      <c r="F70" s="2">
        <f>IFERROR(__xludf.DUMMYFUNCTION("""COMPUTED_VALUE"""),1.50256278E8)</f>
        <v>150256278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IFERROR(__xludf.DUMMYFUNCTION("""COMPUTED_VALUE"""),182.96)</f>
        <v>182.96</v>
      </c>
      <c r="C71" s="2">
        <f>IFERROR(__xludf.DUMMYFUNCTION("""COMPUTED_VALUE"""),186.5)</f>
        <v>186.5</v>
      </c>
      <c r="D71" s="2">
        <f>IFERROR(__xludf.DUMMYFUNCTION("""COMPUTED_VALUE"""),180.94)</f>
        <v>180.94</v>
      </c>
      <c r="E71" s="2">
        <f>IFERROR(__xludf.DUMMYFUNCTION("""COMPUTED_VALUE"""),185.9)</f>
        <v>185.9</v>
      </c>
      <c r="F71" s="2">
        <f>IFERROR(__xludf.DUMMYFUNCTION("""COMPUTED_VALUE"""),1.12932985E8)</f>
        <v>112932985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IFERROR(__xludf.DUMMYFUNCTION("""COMPUTED_VALUE"""),183.95)</f>
        <v>183.95</v>
      </c>
      <c r="C72" s="2">
        <f>IFERROR(__xludf.DUMMYFUNCTION("""COMPUTED_VALUE"""),186.28)</f>
        <v>186.28</v>
      </c>
      <c r="D72" s="2">
        <f>IFERROR(__xludf.DUMMYFUNCTION("""COMPUTED_VALUE"""),182.01)</f>
        <v>182.01</v>
      </c>
      <c r="E72" s="2">
        <f>IFERROR(__xludf.DUMMYFUNCTION("""COMPUTED_VALUE"""),185.0)</f>
        <v>185</v>
      </c>
      <c r="F72" s="2">
        <f>IFERROR(__xludf.DUMMYFUNCTION("""COMPUTED_VALUE"""),9.6438664E7)</f>
        <v>96438664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IFERROR(__xludf.DUMMYFUNCTION("""COMPUTED_VALUE"""),186.32)</f>
        <v>186.32</v>
      </c>
      <c r="C73" s="2">
        <f>IFERROR(__xludf.DUMMYFUNCTION("""COMPUTED_VALUE"""),189.69)</f>
        <v>189.69</v>
      </c>
      <c r="D73" s="2">
        <f>IFERROR(__xludf.DUMMYFUNCTION("""COMPUTED_VALUE"""),182.69)</f>
        <v>182.69</v>
      </c>
      <c r="E73" s="2">
        <f>IFERROR(__xludf.DUMMYFUNCTION("""COMPUTED_VALUE"""),187.04)</f>
        <v>187.04</v>
      </c>
      <c r="F73" s="2">
        <f>IFERROR(__xludf.DUMMYFUNCTION("""COMPUTED_VALUE"""),1.16662189E8)</f>
        <v>116662189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IFERROR(__xludf.DUMMYFUNCTION("""COMPUTED_VALUE"""),187.15)</f>
        <v>187.15</v>
      </c>
      <c r="C74" s="2">
        <f>IFERROR(__xludf.DUMMYFUNCTION("""COMPUTED_VALUE"""),187.69)</f>
        <v>187.69</v>
      </c>
      <c r="D74" s="2">
        <f>IFERROR(__xludf.DUMMYFUNCTION("""COMPUTED_VALUE"""),183.58)</f>
        <v>183.58</v>
      </c>
      <c r="E74" s="2">
        <f>IFERROR(__xludf.DUMMYFUNCTION("""COMPUTED_VALUE"""),184.31)</f>
        <v>184.31</v>
      </c>
      <c r="F74" s="2">
        <f>IFERROR(__xludf.DUMMYFUNCTION("""COMPUTED_VALUE"""),9.2067016E7)</f>
        <v>92067016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IFERROR(__xludf.DUMMYFUNCTION("""COMPUTED_VALUE"""),179.1)</f>
        <v>179.1</v>
      </c>
      <c r="C75" s="2">
        <f>IFERROR(__xludf.DUMMYFUNCTION("""COMPUTED_VALUE"""),183.5)</f>
        <v>183.5</v>
      </c>
      <c r="D75" s="2">
        <f>IFERROR(__xludf.DUMMYFUNCTION("""COMPUTED_VALUE"""),177.65)</f>
        <v>177.65</v>
      </c>
      <c r="E75" s="2">
        <f>IFERROR(__xludf.DUMMYFUNCTION("""COMPUTED_VALUE"""),180.59)</f>
        <v>180.59</v>
      </c>
      <c r="F75" s="2">
        <f>IFERROR(__xludf.DUMMYFUNCTION("""COMPUTED_VALUE"""),1.25732687E8)</f>
        <v>125732687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IFERROR(__xludf.DUMMYFUNCTION("""COMPUTED_VALUE"""),166.17)</f>
        <v>166.17</v>
      </c>
      <c r="C76" s="2">
        <f>IFERROR(__xludf.DUMMYFUNCTION("""COMPUTED_VALUE"""),169.7)</f>
        <v>169.7</v>
      </c>
      <c r="D76" s="2">
        <f>IFERROR(__xludf.DUMMYFUNCTION("""COMPUTED_VALUE"""),160.56)</f>
        <v>160.56</v>
      </c>
      <c r="E76" s="2">
        <f>IFERROR(__xludf.DUMMYFUNCTION("""COMPUTED_VALUE"""),162.99)</f>
        <v>162.99</v>
      </c>
      <c r="F76" s="2">
        <f>IFERROR(__xludf.DUMMYFUNCTION("""COMPUTED_VALUE"""),2.10970819E8)</f>
        <v>210970819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IFERROR(__xludf.DUMMYFUNCTION("""COMPUTED_VALUE"""),164.8)</f>
        <v>164.8</v>
      </c>
      <c r="C77" s="2">
        <f>IFERROR(__xludf.DUMMYFUNCTION("""COMPUTED_VALUE"""),166.0)</f>
        <v>166</v>
      </c>
      <c r="D77" s="2">
        <f>IFERROR(__xludf.DUMMYFUNCTION("""COMPUTED_VALUE"""),161.32)</f>
        <v>161.32</v>
      </c>
      <c r="E77" s="2">
        <f>IFERROR(__xludf.DUMMYFUNCTION("""COMPUTED_VALUE"""),165.08)</f>
        <v>165.08</v>
      </c>
      <c r="F77" s="2">
        <f>IFERROR(__xludf.DUMMYFUNCTION("""COMPUTED_VALUE"""),1.23538954E8)</f>
        <v>123538954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IFERROR(__xludf.DUMMYFUNCTION("""COMPUTED_VALUE"""),164.65)</f>
        <v>164.65</v>
      </c>
      <c r="C78" s="2">
        <f>IFERROR(__xludf.DUMMYFUNCTION("""COMPUTED_VALUE"""),165.65)</f>
        <v>165.65</v>
      </c>
      <c r="D78" s="2">
        <f>IFERROR(__xludf.DUMMYFUNCTION("""COMPUTED_VALUE"""),158.61)</f>
        <v>158.61</v>
      </c>
      <c r="E78" s="2">
        <f>IFERROR(__xludf.DUMMYFUNCTION("""COMPUTED_VALUE"""),162.55)</f>
        <v>162.55</v>
      </c>
      <c r="F78" s="2">
        <f>IFERROR(__xludf.DUMMYFUNCTION("""COMPUTED_VALUE"""),1.40006559E8)</f>
        <v>140006559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IFERROR(__xludf.DUMMYFUNCTION("""COMPUTED_VALUE"""),159.82)</f>
        <v>159.82</v>
      </c>
      <c r="C79" s="2">
        <f>IFERROR(__xludf.DUMMYFUNCTION("""COMPUTED_VALUE"""),163.47)</f>
        <v>163.47</v>
      </c>
      <c r="D79" s="2">
        <f>IFERROR(__xludf.DUMMYFUNCTION("""COMPUTED_VALUE"""),158.75)</f>
        <v>158.75</v>
      </c>
      <c r="E79" s="2">
        <f>IFERROR(__xludf.DUMMYFUNCTION("""COMPUTED_VALUE"""),160.67)</f>
        <v>160.67</v>
      </c>
      <c r="F79" s="2">
        <f>IFERROR(__xludf.DUMMYFUNCTION("""COMPUTED_VALUE"""),1.21999312E8)</f>
        <v>121999312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IFERROR(__xludf.DUMMYFUNCTION("""COMPUTED_VALUE"""),160.29)</f>
        <v>160.29</v>
      </c>
      <c r="C80" s="2">
        <f>IFERROR(__xludf.DUMMYFUNCTION("""COMPUTED_VALUE"""),160.67)</f>
        <v>160.67</v>
      </c>
      <c r="D80" s="2">
        <f>IFERROR(__xludf.DUMMYFUNCTION("""COMPUTED_VALUE"""),153.14)</f>
        <v>153.14</v>
      </c>
      <c r="E80" s="2">
        <f>IFERROR(__xludf.DUMMYFUNCTION("""COMPUTED_VALUE"""),153.75)</f>
        <v>153.75</v>
      </c>
      <c r="F80" s="2">
        <f>IFERROR(__xludf.DUMMYFUNCTION("""COMPUTED_VALUE"""),1.53364142E8)</f>
        <v>153364142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IFERROR(__xludf.DUMMYFUNCTION("""COMPUTED_VALUE"""),152.64)</f>
        <v>152.64</v>
      </c>
      <c r="C81" s="2">
        <f>IFERROR(__xludf.DUMMYFUNCTION("""COMPUTED_VALUE"""),160.48)</f>
        <v>160.48</v>
      </c>
      <c r="D81" s="2">
        <f>IFERROR(__xludf.DUMMYFUNCTION("""COMPUTED_VALUE"""),152.37)</f>
        <v>152.37</v>
      </c>
      <c r="E81" s="2">
        <f>IFERROR(__xludf.DUMMYFUNCTION("""COMPUTED_VALUE"""),160.19)</f>
        <v>160.19</v>
      </c>
      <c r="F81" s="2">
        <f>IFERROR(__xludf.DUMMYFUNCTION("""COMPUTED_VALUE"""),1.27015177E8)</f>
        <v>127015177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IFERROR(__xludf.DUMMYFUNCTION("""COMPUTED_VALUE"""),160.9)</f>
        <v>160.9</v>
      </c>
      <c r="C82" s="2">
        <f>IFERROR(__xludf.DUMMYFUNCTION("""COMPUTED_VALUE"""),165.0)</f>
        <v>165</v>
      </c>
      <c r="D82" s="2">
        <f>IFERROR(__xludf.DUMMYFUNCTION("""COMPUTED_VALUE"""),157.32)</f>
        <v>157.32</v>
      </c>
      <c r="E82" s="2">
        <f>IFERROR(__xludf.DUMMYFUNCTION("""COMPUTED_VALUE"""),164.31)</f>
        <v>164.31</v>
      </c>
      <c r="F82" s="2">
        <f>IFERROR(__xludf.DUMMYFUNCTION("""COMPUTED_VALUE"""),1.22515812E8)</f>
        <v>122515812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IFERROR(__xludf.DUMMYFUNCTION("""COMPUTED_VALUE"""),163.17)</f>
        <v>163.17</v>
      </c>
      <c r="C83" s="2">
        <f>IFERROR(__xludf.DUMMYFUNCTION("""COMPUTED_VALUE"""),163.28)</f>
        <v>163.28</v>
      </c>
      <c r="D83" s="2">
        <f>IFERROR(__xludf.DUMMYFUNCTION("""COMPUTED_VALUE"""),158.83)</f>
        <v>158.83</v>
      </c>
      <c r="E83" s="2">
        <f>IFERROR(__xludf.DUMMYFUNCTION("""COMPUTED_VALUE"""),161.83)</f>
        <v>161.83</v>
      </c>
      <c r="F83" s="2">
        <f>IFERROR(__xludf.DUMMYFUNCTION("""COMPUTED_VALUE"""),1.09015048E8)</f>
        <v>109015048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IFERROR(__xludf.DUMMYFUNCTION("""COMPUTED_VALUE"""),161.88)</f>
        <v>161.88</v>
      </c>
      <c r="C84" s="2">
        <f>IFERROR(__xludf.DUMMYFUNCTION("""COMPUTED_VALUE"""),165.49)</f>
        <v>165.49</v>
      </c>
      <c r="D84" s="2">
        <f>IFERROR(__xludf.DUMMYFUNCTION("""COMPUTED_VALUE"""),158.93)</f>
        <v>158.93</v>
      </c>
      <c r="E84" s="2">
        <f>IFERROR(__xludf.DUMMYFUNCTION("""COMPUTED_VALUE"""),160.31)</f>
        <v>160.31</v>
      </c>
      <c r="F84" s="2">
        <f>IFERROR(__xludf.DUMMYFUNCTION("""COMPUTED_VALUE"""),1.28259744E8)</f>
        <v>128259744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IFERROR(__xludf.DUMMYFUNCTION("""COMPUTED_VALUE"""),160.01)</f>
        <v>160.01</v>
      </c>
      <c r="C85" s="2">
        <f>IFERROR(__xludf.DUMMYFUNCTION("""COMPUTED_VALUE"""),165.0)</f>
        <v>165</v>
      </c>
      <c r="D85" s="2">
        <f>IFERROR(__xludf.DUMMYFUNCTION("""COMPUTED_VALUE"""),159.91)</f>
        <v>159.91</v>
      </c>
      <c r="E85" s="2">
        <f>IFERROR(__xludf.DUMMYFUNCTION("""COMPUTED_VALUE"""),160.61)</f>
        <v>160.61</v>
      </c>
      <c r="F85" s="2">
        <f>IFERROR(__xludf.DUMMYFUNCTION("""COMPUTED_VALUE"""),1.19727972E8)</f>
        <v>119727972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IFERROR(__xludf.DUMMYFUNCTION("""COMPUTED_VALUE"""),162.71)</f>
        <v>162.71</v>
      </c>
      <c r="C86" s="2">
        <f>IFERROR(__xludf.DUMMYFUNCTION("""COMPUTED_VALUE"""),162.95)</f>
        <v>162.95</v>
      </c>
      <c r="D86" s="2">
        <f>IFERROR(__xludf.DUMMYFUNCTION("""COMPUTED_VALUE"""),159.65)</f>
        <v>159.65</v>
      </c>
      <c r="E86" s="2">
        <f>IFERROR(__xludf.DUMMYFUNCTION("""COMPUTED_VALUE"""),161.2)</f>
        <v>161.2</v>
      </c>
      <c r="F86" s="2">
        <f>IFERROR(__xludf.DUMMYFUNCTION("""COMPUTED_VALUE"""),9.5108492E7)</f>
        <v>95108492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IFERROR(__xludf.DUMMYFUNCTION("""COMPUTED_VALUE"""),163.97)</f>
        <v>163.97</v>
      </c>
      <c r="C87" s="2">
        <f>IFERROR(__xludf.DUMMYFUNCTION("""COMPUTED_VALUE"""),170.79)</f>
        <v>170.79</v>
      </c>
      <c r="D87" s="2">
        <f>IFERROR(__xludf.DUMMYFUNCTION("""COMPUTED_VALUE"""),163.51)</f>
        <v>163.51</v>
      </c>
      <c r="E87" s="2">
        <f>IFERROR(__xludf.DUMMYFUNCTION("""COMPUTED_VALUE"""),170.06)</f>
        <v>170.06</v>
      </c>
      <c r="F87" s="2">
        <f>IFERROR(__xludf.DUMMYFUNCTION("""COMPUTED_VALUE"""),1.07607259E8)</f>
        <v>107607259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IFERROR(__xludf.DUMMYFUNCTION("""COMPUTED_VALUE"""),173.72)</f>
        <v>173.72</v>
      </c>
      <c r="C88" s="2">
        <f>IFERROR(__xludf.DUMMYFUNCTION("""COMPUTED_VALUE"""),173.8)</f>
        <v>173.8</v>
      </c>
      <c r="D88" s="2">
        <f>IFERROR(__xludf.DUMMYFUNCTION("""COMPUTED_VALUE"""),169.19)</f>
        <v>169.19</v>
      </c>
      <c r="E88" s="2">
        <f>IFERROR(__xludf.DUMMYFUNCTION("""COMPUTED_VALUE"""),171.79)</f>
        <v>171.79</v>
      </c>
      <c r="F88" s="2">
        <f>IFERROR(__xludf.DUMMYFUNCTION("""COMPUTED_VALUE"""),1.12249449E8)</f>
        <v>112249449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IFERROR(__xludf.DUMMYFUNCTION("""COMPUTED_VALUE"""),168.95)</f>
        <v>168.95</v>
      </c>
      <c r="C89" s="2">
        <f>IFERROR(__xludf.DUMMYFUNCTION("""COMPUTED_VALUE"""),169.82)</f>
        <v>169.82</v>
      </c>
      <c r="D89" s="2">
        <f>IFERROR(__xludf.DUMMYFUNCTION("""COMPUTED_VALUE"""),166.56)</f>
        <v>166.56</v>
      </c>
      <c r="E89" s="2">
        <f>IFERROR(__xludf.DUMMYFUNCTION("""COMPUTED_VALUE"""),169.15)</f>
        <v>169.15</v>
      </c>
      <c r="F89" s="2">
        <f>IFERROR(__xludf.DUMMYFUNCTION("""COMPUTED_VALUE"""),8.8965043E7)</f>
        <v>88965043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IFERROR(__xludf.DUMMYFUNCTION("""COMPUTED_VALUE"""),172.55)</f>
        <v>172.55</v>
      </c>
      <c r="C90" s="2">
        <f>IFERROR(__xludf.DUMMYFUNCTION("""COMPUTED_VALUE"""),174.43)</f>
        <v>174.43</v>
      </c>
      <c r="D90" s="2">
        <f>IFERROR(__xludf.DUMMYFUNCTION("""COMPUTED_VALUE"""),166.68)</f>
        <v>166.68</v>
      </c>
      <c r="E90" s="2">
        <f>IFERROR(__xludf.DUMMYFUNCTION("""COMPUTED_VALUE"""),168.54)</f>
        <v>168.54</v>
      </c>
      <c r="F90" s="2">
        <f>IFERROR(__xludf.DUMMYFUNCTION("""COMPUTED_VALUE"""),1.19840693E8)</f>
        <v>119840693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IFERROR(__xludf.DUMMYFUNCTION("""COMPUTED_VALUE"""),168.7)</f>
        <v>168.7</v>
      </c>
      <c r="C91" s="2">
        <f>IFERROR(__xludf.DUMMYFUNCTION("""COMPUTED_VALUE"""),173.57)</f>
        <v>173.57</v>
      </c>
      <c r="D91" s="2">
        <f>IFERROR(__xludf.DUMMYFUNCTION("""COMPUTED_VALUE"""),166.79)</f>
        <v>166.79</v>
      </c>
      <c r="E91" s="2">
        <f>IFERROR(__xludf.DUMMYFUNCTION("""COMPUTED_VALUE"""),172.08)</f>
        <v>172.08</v>
      </c>
      <c r="F91" s="2">
        <f>IFERROR(__xludf.DUMMYFUNCTION("""COMPUTED_VALUE"""),1.0388993E8)</f>
        <v>103889930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IFERROR(__xludf.DUMMYFUNCTION("""COMPUTED_VALUE"""),176.07)</f>
        <v>176.07</v>
      </c>
      <c r="C92" s="2">
        <f>IFERROR(__xludf.DUMMYFUNCTION("""COMPUTED_VALUE"""),177.38)</f>
        <v>177.38</v>
      </c>
      <c r="D92" s="2">
        <f>IFERROR(__xludf.DUMMYFUNCTION("""COMPUTED_VALUE"""),167.23)</f>
        <v>167.23</v>
      </c>
      <c r="E92" s="2">
        <f>IFERROR(__xludf.DUMMYFUNCTION("""COMPUTED_VALUE"""),167.98)</f>
        <v>167.98</v>
      </c>
      <c r="F92" s="2">
        <f>IFERROR(__xludf.DUMMYFUNCTION("""COMPUTED_VALUE"""),1.57849625E8)</f>
        <v>157849625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IFERROR(__xludf.DUMMYFUNCTION("""COMPUTED_VALUE"""),167.66)</f>
        <v>167.66</v>
      </c>
      <c r="C93" s="2">
        <f>IFERROR(__xludf.DUMMYFUNCTION("""COMPUTED_VALUE"""),169.76)</f>
        <v>169.76</v>
      </c>
      <c r="D93" s="2">
        <f>IFERROR(__xludf.DUMMYFUNCTION("""COMPUTED_VALUE"""),164.55)</f>
        <v>164.55</v>
      </c>
      <c r="E93" s="2">
        <f>IFERROR(__xludf.DUMMYFUNCTION("""COMPUTED_VALUE"""),166.35)</f>
        <v>166.35</v>
      </c>
      <c r="F93" s="2">
        <f>IFERROR(__xludf.DUMMYFUNCTION("""COMPUTED_VALUE"""),1.0559251E8)</f>
        <v>105592510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IFERROR(__xludf.DUMMYFUNCTION("""COMPUTED_VALUE"""),165.65)</f>
        <v>165.65</v>
      </c>
      <c r="C94" s="2">
        <f>IFERROR(__xludf.DUMMYFUNCTION("""COMPUTED_VALUE"""),169.52)</f>
        <v>169.52</v>
      </c>
      <c r="D94" s="2">
        <f>IFERROR(__xludf.DUMMYFUNCTION("""COMPUTED_VALUE"""),164.35)</f>
        <v>164.35</v>
      </c>
      <c r="E94" s="2">
        <f>IFERROR(__xludf.DUMMYFUNCTION("""COMPUTED_VALUE"""),166.52)</f>
        <v>166.52</v>
      </c>
      <c r="F94" s="2">
        <f>IFERROR(__xludf.DUMMYFUNCTION("""COMPUTED_VALUE"""),9.8288792E7)</f>
        <v>98288792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IFERROR(__xludf.DUMMYFUNCTION("""COMPUTED_VALUE"""),168.41)</f>
        <v>168.41</v>
      </c>
      <c r="C95" s="2">
        <f>IFERROR(__xludf.DUMMYFUNCTION("""COMPUTED_VALUE"""),174.5)</f>
        <v>174.5</v>
      </c>
      <c r="D95" s="2">
        <f>IFERROR(__xludf.DUMMYFUNCTION("""COMPUTED_VALUE"""),167.19)</f>
        <v>167.19</v>
      </c>
      <c r="E95" s="2">
        <f>IFERROR(__xludf.DUMMYFUNCTION("""COMPUTED_VALUE"""),173.86)</f>
        <v>173.86</v>
      </c>
      <c r="F95" s="2">
        <f>IFERROR(__xludf.DUMMYFUNCTION("""COMPUTED_VALUE"""),1.25473558E8)</f>
        <v>125473558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IFERROR(__xludf.DUMMYFUNCTION("""COMPUTED_VALUE"""),174.22)</f>
        <v>174.22</v>
      </c>
      <c r="C96" s="2">
        <f>IFERROR(__xludf.DUMMYFUNCTION("""COMPUTED_VALUE"""),177.06)</f>
        <v>177.06</v>
      </c>
      <c r="D96" s="2">
        <f>IFERROR(__xludf.DUMMYFUNCTION("""COMPUTED_VALUE"""),172.45)</f>
        <v>172.45</v>
      </c>
      <c r="E96" s="2">
        <f>IFERROR(__xludf.DUMMYFUNCTION("""COMPUTED_VALUE"""),176.89)</f>
        <v>176.89</v>
      </c>
      <c r="F96" s="2">
        <f>IFERROR(__xludf.DUMMYFUNCTION("""COMPUTED_VALUE"""),1.09520332E8)</f>
        <v>109520332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IFERROR(__xludf.DUMMYFUNCTION("""COMPUTED_VALUE"""),177.17)</f>
        <v>177.17</v>
      </c>
      <c r="C97" s="2">
        <f>IFERROR(__xludf.DUMMYFUNCTION("""COMPUTED_VALUE"""),181.95)</f>
        <v>181.95</v>
      </c>
      <c r="D97" s="2">
        <f>IFERROR(__xludf.DUMMYFUNCTION("""COMPUTED_VALUE"""),176.31)</f>
        <v>176.31</v>
      </c>
      <c r="E97" s="2">
        <f>IFERROR(__xludf.DUMMYFUNCTION("""COMPUTED_VALUE"""),180.14)</f>
        <v>180.14</v>
      </c>
      <c r="F97" s="2">
        <f>IFERROR(__xludf.DUMMYFUNCTION("""COMPUTED_VALUE"""),1.36196668E8)</f>
        <v>136196668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IFERROR(__xludf.DUMMYFUNCTION("""COMPUTED_VALUE"""),180.7)</f>
        <v>180.7</v>
      </c>
      <c r="C98" s="2">
        <f>IFERROR(__xludf.DUMMYFUNCTION("""COMPUTED_VALUE"""),189.32)</f>
        <v>189.32</v>
      </c>
      <c r="D98" s="2">
        <f>IFERROR(__xludf.DUMMYFUNCTION("""COMPUTED_VALUE"""),180.11)</f>
        <v>180.11</v>
      </c>
      <c r="E98" s="2">
        <f>IFERROR(__xludf.DUMMYFUNCTION("""COMPUTED_VALUE"""),188.87)</f>
        <v>188.87</v>
      </c>
      <c r="F98" s="2">
        <f>IFERROR(__xludf.DUMMYFUNCTION("""COMPUTED_VALUE"""),1.3200143E8)</f>
        <v>132001430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IFERROR(__xludf.DUMMYFUNCTION("""COMPUTED_VALUE"""),186.2)</f>
        <v>186.2</v>
      </c>
      <c r="C99" s="2">
        <f>IFERROR(__xludf.DUMMYFUNCTION("""COMPUTED_VALUE"""),192.96)</f>
        <v>192.96</v>
      </c>
      <c r="D99" s="2">
        <f>IFERROR(__xludf.DUMMYFUNCTION("""COMPUTED_VALUE"""),185.26)</f>
        <v>185.26</v>
      </c>
      <c r="E99" s="2">
        <f>IFERROR(__xludf.DUMMYFUNCTION("""COMPUTED_VALUE"""),185.77)</f>
        <v>185.77</v>
      </c>
      <c r="F99" s="2">
        <f>IFERROR(__xludf.DUMMYFUNCTION("""COMPUTED_VALUE"""),1.5695213E8)</f>
        <v>156952130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IFERROR(__xludf.DUMMYFUNCTION("""COMPUTED_VALUE"""),182.23)</f>
        <v>182.23</v>
      </c>
      <c r="C100" s="2">
        <f>IFERROR(__xludf.DUMMYFUNCTION("""COMPUTED_VALUE"""),184.22)</f>
        <v>184.22</v>
      </c>
      <c r="D100" s="2">
        <f>IFERROR(__xludf.DUMMYFUNCTION("""COMPUTED_VALUE"""),178.22)</f>
        <v>178.22</v>
      </c>
      <c r="E100" s="2">
        <f>IFERROR(__xludf.DUMMYFUNCTION("""COMPUTED_VALUE"""),182.9)</f>
        <v>182.9</v>
      </c>
      <c r="F100" s="2">
        <f>IFERROR(__xludf.DUMMYFUNCTION("""COMPUTED_VALUE"""),1.37605054E8)</f>
        <v>137605054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IFERROR(__xludf.DUMMYFUNCTION("""COMPUTED_VALUE"""),186.54)</f>
        <v>186.54</v>
      </c>
      <c r="C101" s="2">
        <f>IFERROR(__xludf.DUMMYFUNCTION("""COMPUTED_VALUE"""),186.78)</f>
        <v>186.78</v>
      </c>
      <c r="D101" s="2">
        <f>IFERROR(__xludf.DUMMYFUNCTION("""COMPUTED_VALUE"""),180.58)</f>
        <v>180.58</v>
      </c>
      <c r="E101" s="2">
        <f>IFERROR(__xludf.DUMMYFUNCTION("""COMPUTED_VALUE"""),184.47)</f>
        <v>184.47</v>
      </c>
      <c r="F101" s="2">
        <f>IFERROR(__xludf.DUMMYFUNCTION("""COMPUTED_VALUE"""),9.6870719E7)</f>
        <v>96870719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IFERROR(__xludf.DUMMYFUNCTION("""COMPUTED_VALUE"""),184.62)</f>
        <v>184.62</v>
      </c>
      <c r="C102" s="2">
        <f>IFERROR(__xludf.DUMMYFUNCTION("""COMPUTED_VALUE"""),198.6)</f>
        <v>198.6</v>
      </c>
      <c r="D102" s="2">
        <f>IFERROR(__xludf.DUMMYFUNCTION("""COMPUTED_VALUE"""),184.53)</f>
        <v>184.53</v>
      </c>
      <c r="E102" s="2">
        <f>IFERROR(__xludf.DUMMYFUNCTION("""COMPUTED_VALUE"""),193.17)</f>
        <v>193.17</v>
      </c>
      <c r="F102" s="2">
        <f>IFERROR(__xludf.DUMMYFUNCTION("""COMPUTED_VALUE"""),1.62061496E8)</f>
        <v>162061496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IFERROR(__xludf.DUMMYFUNCTION("""COMPUTED_VALUE"""),200.1)</f>
        <v>200.1</v>
      </c>
      <c r="C103" s="2">
        <f>IFERROR(__xludf.DUMMYFUNCTION("""COMPUTED_VALUE"""),204.48)</f>
        <v>204.48</v>
      </c>
      <c r="D103" s="2">
        <f>IFERROR(__xludf.DUMMYFUNCTION("""COMPUTED_VALUE"""),197.53)</f>
        <v>197.53</v>
      </c>
      <c r="E103" s="2">
        <f>IFERROR(__xludf.DUMMYFUNCTION("""COMPUTED_VALUE"""),201.16)</f>
        <v>201.16</v>
      </c>
      <c r="F103" s="2">
        <f>IFERROR(__xludf.DUMMYFUNCTION("""COMPUTED_VALUE"""),1.28818746E8)</f>
        <v>128818746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IFERROR(__xludf.DUMMYFUNCTION("""COMPUTED_VALUE"""),199.78)</f>
        <v>199.78</v>
      </c>
      <c r="C104" s="2">
        <f>IFERROR(__xludf.DUMMYFUNCTION("""COMPUTED_VALUE"""),203.95)</f>
        <v>203.95</v>
      </c>
      <c r="D104" s="2">
        <f>IFERROR(__xludf.DUMMYFUNCTION("""COMPUTED_VALUE"""),195.12)</f>
        <v>195.12</v>
      </c>
      <c r="E104" s="2">
        <f>IFERROR(__xludf.DUMMYFUNCTION("""COMPUTED_VALUE"""),203.93)</f>
        <v>203.93</v>
      </c>
      <c r="F104" s="2">
        <f>IFERROR(__xludf.DUMMYFUNCTION("""COMPUTED_VALUE"""),1.50711736E8)</f>
        <v>150711736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IFERROR(__xludf.DUMMYFUNCTION("""COMPUTED_VALUE"""),202.59)</f>
        <v>202.59</v>
      </c>
      <c r="C105" s="2">
        <f>IFERROR(__xludf.DUMMYFUNCTION("""COMPUTED_VALUE"""),209.8)</f>
        <v>209.8</v>
      </c>
      <c r="D105" s="2">
        <f>IFERROR(__xludf.DUMMYFUNCTION("""COMPUTED_VALUE"""),199.37)</f>
        <v>199.37</v>
      </c>
      <c r="E105" s="2">
        <f>IFERROR(__xludf.DUMMYFUNCTION("""COMPUTED_VALUE"""),207.52)</f>
        <v>207.52</v>
      </c>
      <c r="F105" s="2">
        <f>IFERROR(__xludf.DUMMYFUNCTION("""COMPUTED_VALUE"""),1.48029931E8)</f>
        <v>148029931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IFERROR(__xludf.DUMMYFUNCTION("""COMPUTED_VALUE"""),210.15)</f>
        <v>210.15</v>
      </c>
      <c r="C106" s="2">
        <f>IFERROR(__xludf.DUMMYFUNCTION("""COMPUTED_VALUE"""),217.25)</f>
        <v>217.25</v>
      </c>
      <c r="D106" s="2">
        <f>IFERROR(__xludf.DUMMYFUNCTION("""COMPUTED_VALUE"""),209.75)</f>
        <v>209.75</v>
      </c>
      <c r="E106" s="2">
        <f>IFERROR(__xludf.DUMMYFUNCTION("""COMPUTED_VALUE"""),213.97)</f>
        <v>213.97</v>
      </c>
      <c r="F106" s="2">
        <f>IFERROR(__xludf.DUMMYFUNCTION("""COMPUTED_VALUE"""),1.64398372E8)</f>
        <v>164398372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IFERROR(__xludf.DUMMYFUNCTION("""COMPUTED_VALUE"""),217.8)</f>
        <v>217.8</v>
      </c>
      <c r="C107" s="2">
        <f>IFERROR(__xludf.DUMMYFUNCTION("""COMPUTED_VALUE"""),221.29)</f>
        <v>221.29</v>
      </c>
      <c r="D107" s="2">
        <f>IFERROR(__xludf.DUMMYFUNCTION("""COMPUTED_VALUE"""),214.52)</f>
        <v>214.52</v>
      </c>
      <c r="E107" s="2">
        <f>IFERROR(__xludf.DUMMYFUNCTION("""COMPUTED_VALUE"""),217.61)</f>
        <v>217.61</v>
      </c>
      <c r="F107" s="2">
        <f>IFERROR(__xludf.DUMMYFUNCTION("""COMPUTED_VALUE"""),1.51143052E8)</f>
        <v>151143052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IFERROR(__xludf.DUMMYFUNCTION("""COMPUTED_VALUE"""),216.14)</f>
        <v>216.14</v>
      </c>
      <c r="C108" s="2">
        <f>IFERROR(__xludf.DUMMYFUNCTION("""COMPUTED_VALUE"""),221.91)</f>
        <v>221.91</v>
      </c>
      <c r="D108" s="2">
        <f>IFERROR(__xludf.DUMMYFUNCTION("""COMPUTED_VALUE"""),212.53)</f>
        <v>212.53</v>
      </c>
      <c r="E108" s="2">
        <f>IFERROR(__xludf.DUMMYFUNCTION("""COMPUTED_VALUE"""),221.31)</f>
        <v>221.31</v>
      </c>
      <c r="F108" s="2">
        <f>IFERROR(__xludf.DUMMYFUNCTION("""COMPUTED_VALUE"""),1.46911576E8)</f>
        <v>146911576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IFERROR(__xludf.DUMMYFUNCTION("""COMPUTED_VALUE"""),228.0)</f>
        <v>228</v>
      </c>
      <c r="C109" s="2">
        <f>IFERROR(__xludf.DUMMYFUNCTION("""COMPUTED_VALUE"""),230.83)</f>
        <v>230.83</v>
      </c>
      <c r="D109" s="2">
        <f>IFERROR(__xludf.DUMMYFUNCTION("""COMPUTED_VALUE"""),223.2)</f>
        <v>223.2</v>
      </c>
      <c r="E109" s="2">
        <f>IFERROR(__xludf.DUMMYFUNCTION("""COMPUTED_VALUE"""),224.57)</f>
        <v>224.57</v>
      </c>
      <c r="F109" s="2">
        <f>IFERROR(__xludf.DUMMYFUNCTION("""COMPUTED_VALUE"""),1.85710777E8)</f>
        <v>185710777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IFERROR(__xludf.DUMMYFUNCTION("""COMPUTED_VALUE"""),224.22)</f>
        <v>224.22</v>
      </c>
      <c r="C110" s="2">
        <f>IFERROR(__xludf.DUMMYFUNCTION("""COMPUTED_VALUE"""),235.23)</f>
        <v>235.23</v>
      </c>
      <c r="D110" s="2">
        <f>IFERROR(__xludf.DUMMYFUNCTION("""COMPUTED_VALUE"""),223.01)</f>
        <v>223.01</v>
      </c>
      <c r="E110" s="2">
        <f>IFERROR(__xludf.DUMMYFUNCTION("""COMPUTED_VALUE"""),234.86)</f>
        <v>234.86</v>
      </c>
      <c r="F110" s="2">
        <f>IFERROR(__xludf.DUMMYFUNCTION("""COMPUTED_VALUE"""),1.64489739E8)</f>
        <v>164489739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IFERROR(__xludf.DUMMYFUNCTION("""COMPUTED_VALUE"""),249.07)</f>
        <v>249.07</v>
      </c>
      <c r="C111" s="2">
        <f>IFERROR(__xludf.DUMMYFUNCTION("""COMPUTED_VALUE"""),252.42)</f>
        <v>252.42</v>
      </c>
      <c r="D111" s="2">
        <f>IFERROR(__xludf.DUMMYFUNCTION("""COMPUTED_VALUE"""),242.02)</f>
        <v>242.02</v>
      </c>
      <c r="E111" s="2">
        <f>IFERROR(__xludf.DUMMYFUNCTION("""COMPUTED_VALUE"""),244.4)</f>
        <v>244.4</v>
      </c>
      <c r="F111" s="2">
        <f>IFERROR(__xludf.DUMMYFUNCTION("""COMPUTED_VALUE"""),2.00242371E8)</f>
        <v>200242371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IFERROR(__xludf.DUMMYFUNCTION("""COMPUTED_VALUE"""),247.94)</f>
        <v>247.94</v>
      </c>
      <c r="C112" s="2">
        <f>IFERROR(__xludf.DUMMYFUNCTION("""COMPUTED_VALUE"""),250.97)</f>
        <v>250.97</v>
      </c>
      <c r="D112" s="2">
        <f>IFERROR(__xludf.DUMMYFUNCTION("""COMPUTED_VALUE"""),244.59)</f>
        <v>244.59</v>
      </c>
      <c r="E112" s="2">
        <f>IFERROR(__xludf.DUMMYFUNCTION("""COMPUTED_VALUE"""),249.83)</f>
        <v>249.83</v>
      </c>
      <c r="F112" s="2">
        <f>IFERROR(__xludf.DUMMYFUNCTION("""COMPUTED_VALUE"""),1.50740523E8)</f>
        <v>150740523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IFERROR(__xludf.DUMMYFUNCTION("""COMPUTED_VALUE"""),253.51)</f>
        <v>253.51</v>
      </c>
      <c r="C113" s="2">
        <f>IFERROR(__xludf.DUMMYFUNCTION("""COMPUTED_VALUE"""),259.68)</f>
        <v>259.68</v>
      </c>
      <c r="D113" s="2">
        <f>IFERROR(__xludf.DUMMYFUNCTION("""COMPUTED_VALUE"""),251.34)</f>
        <v>251.34</v>
      </c>
      <c r="E113" s="2">
        <f>IFERROR(__xludf.DUMMYFUNCTION("""COMPUTED_VALUE"""),258.71)</f>
        <v>258.71</v>
      </c>
      <c r="F113" s="2">
        <f>IFERROR(__xludf.DUMMYFUNCTION("""COMPUTED_VALUE"""),1.62384343E8)</f>
        <v>162384343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IFERROR(__xludf.DUMMYFUNCTION("""COMPUTED_VALUE"""),260.17)</f>
        <v>260.17</v>
      </c>
      <c r="C114" s="2">
        <f>IFERROR(__xludf.DUMMYFUNCTION("""COMPUTED_VALUE"""),261.57)</f>
        <v>261.57</v>
      </c>
      <c r="D114" s="2">
        <f>IFERROR(__xludf.DUMMYFUNCTION("""COMPUTED_VALUE"""),250.5)</f>
        <v>250.5</v>
      </c>
      <c r="E114" s="2">
        <f>IFERROR(__xludf.DUMMYFUNCTION("""COMPUTED_VALUE"""),256.79)</f>
        <v>256.79</v>
      </c>
      <c r="F114" s="2">
        <f>IFERROR(__xludf.DUMMYFUNCTION("""COMPUTED_VALUE"""),1.70575536E8)</f>
        <v>170575536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IFERROR(__xludf.DUMMYFUNCTION("""COMPUTED_VALUE"""),248.4)</f>
        <v>248.4</v>
      </c>
      <c r="C115" s="2">
        <f>IFERROR(__xludf.DUMMYFUNCTION("""COMPUTED_VALUE"""),258.95)</f>
        <v>258.95</v>
      </c>
      <c r="D115" s="2">
        <f>IFERROR(__xludf.DUMMYFUNCTION("""COMPUTED_VALUE"""),247.29)</f>
        <v>247.29</v>
      </c>
      <c r="E115" s="2">
        <f>IFERROR(__xludf.DUMMYFUNCTION("""COMPUTED_VALUE"""),255.9)</f>
        <v>255.9</v>
      </c>
      <c r="F115" s="2">
        <f>IFERROR(__xludf.DUMMYFUNCTION("""COMPUTED_VALUE"""),1.60171238E8)</f>
        <v>160171238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IFERROR(__xludf.DUMMYFUNCTION("""COMPUTED_VALUE"""),258.92)</f>
        <v>258.92</v>
      </c>
      <c r="C116" s="2">
        <f>IFERROR(__xludf.DUMMYFUNCTION("""COMPUTED_VALUE"""),263.6)</f>
        <v>263.6</v>
      </c>
      <c r="D116" s="2">
        <f>IFERROR(__xludf.DUMMYFUNCTION("""COMPUTED_VALUE"""),257.21)</f>
        <v>257.21</v>
      </c>
      <c r="E116" s="2">
        <f>IFERROR(__xludf.DUMMYFUNCTION("""COMPUTED_VALUE"""),260.54)</f>
        <v>260.54</v>
      </c>
      <c r="F116" s="2">
        <f>IFERROR(__xludf.DUMMYFUNCTION("""COMPUTED_VALUE"""),1.67915649E8)</f>
        <v>167915649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IFERROR(__xludf.DUMMYFUNCTION("""COMPUTED_VALUE"""),261.5)</f>
        <v>261.5</v>
      </c>
      <c r="C117" s="2">
        <f>IFERROR(__xludf.DUMMYFUNCTION("""COMPUTED_VALUE"""),274.75)</f>
        <v>274.75</v>
      </c>
      <c r="D117" s="2">
        <f>IFERROR(__xludf.DUMMYFUNCTION("""COMPUTED_VALUE"""),261.12)</f>
        <v>261.12</v>
      </c>
      <c r="E117" s="2">
        <f>IFERROR(__xludf.DUMMYFUNCTION("""COMPUTED_VALUE"""),274.45)</f>
        <v>274.45</v>
      </c>
      <c r="F117" s="2">
        <f>IFERROR(__xludf.DUMMYFUNCTION("""COMPUTED_VALUE"""),1.65611217E8)</f>
        <v>165611217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IFERROR(__xludf.DUMMYFUNCTION("""COMPUTED_VALUE"""),275.13)</f>
        <v>275.13</v>
      </c>
      <c r="C118" s="2">
        <f>IFERROR(__xludf.DUMMYFUNCTION("""COMPUTED_VALUE"""),276.99)</f>
        <v>276.99</v>
      </c>
      <c r="D118" s="2">
        <f>IFERROR(__xludf.DUMMYFUNCTION("""COMPUTED_VALUE"""),257.78)</f>
        <v>257.78</v>
      </c>
      <c r="E118" s="2">
        <f>IFERROR(__xludf.DUMMYFUNCTION("""COMPUTED_VALUE"""),259.46)</f>
        <v>259.46</v>
      </c>
      <c r="F118" s="2">
        <f>IFERROR(__xludf.DUMMYFUNCTION("""COMPUTED_VALUE"""),2.11797109E8)</f>
        <v>211797109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IFERROR(__xludf.DUMMYFUNCTION("""COMPUTED_VALUE"""),250.77)</f>
        <v>250.77</v>
      </c>
      <c r="C119" s="2">
        <f>IFERROR(__xludf.DUMMYFUNCTION("""COMPUTED_VALUE"""),265.0)</f>
        <v>265</v>
      </c>
      <c r="D119" s="2">
        <f>IFERROR(__xludf.DUMMYFUNCTION("""COMPUTED_VALUE"""),248.25)</f>
        <v>248.25</v>
      </c>
      <c r="E119" s="2">
        <f>IFERROR(__xludf.DUMMYFUNCTION("""COMPUTED_VALUE"""),264.61)</f>
        <v>264.61</v>
      </c>
      <c r="F119" s="2">
        <f>IFERROR(__xludf.DUMMYFUNCTION("""COMPUTED_VALUE"""),1.66875944E8)</f>
        <v>166875944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IFERROR(__xludf.DUMMYFUNCTION("""COMPUTED_VALUE"""),259.29)</f>
        <v>259.29</v>
      </c>
      <c r="C120" s="2">
        <f>IFERROR(__xludf.DUMMYFUNCTION("""COMPUTED_VALUE"""),262.45)</f>
        <v>262.45</v>
      </c>
      <c r="D120" s="2">
        <f>IFERROR(__xludf.DUMMYFUNCTION("""COMPUTED_VALUE"""),252.8)</f>
        <v>252.8</v>
      </c>
      <c r="E120" s="2">
        <f>IFERROR(__xludf.DUMMYFUNCTION("""COMPUTED_VALUE"""),256.6)</f>
        <v>256.6</v>
      </c>
      <c r="F120" s="2">
        <f>IFERROR(__xludf.DUMMYFUNCTION("""COMPUTED_VALUE"""),1.77460803E8)</f>
        <v>177460803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IFERROR(__xludf.DUMMYFUNCTION("""COMPUTED_VALUE"""),250.07)</f>
        <v>250.07</v>
      </c>
      <c r="C121" s="2">
        <f>IFERROR(__xludf.DUMMYFUNCTION("""COMPUTED_VALUE"""),258.37)</f>
        <v>258.37</v>
      </c>
      <c r="D121" s="2">
        <f>IFERROR(__xludf.DUMMYFUNCTION("""COMPUTED_VALUE"""),240.7)</f>
        <v>240.7</v>
      </c>
      <c r="E121" s="2">
        <f>IFERROR(__xludf.DUMMYFUNCTION("""COMPUTED_VALUE"""),241.05)</f>
        <v>241.05</v>
      </c>
      <c r="F121" s="2">
        <f>IFERROR(__xludf.DUMMYFUNCTION("""COMPUTED_VALUE"""),1.79990552E8)</f>
        <v>179990552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IFERROR(__xludf.DUMMYFUNCTION("""COMPUTED_VALUE"""),243.24)</f>
        <v>243.24</v>
      </c>
      <c r="C122" s="2">
        <f>IFERROR(__xludf.DUMMYFUNCTION("""COMPUTED_VALUE"""),250.39)</f>
        <v>250.39</v>
      </c>
      <c r="D122" s="2">
        <f>IFERROR(__xludf.DUMMYFUNCTION("""COMPUTED_VALUE"""),240.85)</f>
        <v>240.85</v>
      </c>
      <c r="E122" s="2">
        <f>IFERROR(__xludf.DUMMYFUNCTION("""COMPUTED_VALUE"""),250.21)</f>
        <v>250.21</v>
      </c>
      <c r="F122" s="2">
        <f>IFERROR(__xludf.DUMMYFUNCTION("""COMPUTED_VALUE"""),1.64968214E8)</f>
        <v>164968214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IFERROR(__xludf.DUMMYFUNCTION("""COMPUTED_VALUE"""),249.7)</f>
        <v>249.7</v>
      </c>
      <c r="C123" s="2">
        <f>IFERROR(__xludf.DUMMYFUNCTION("""COMPUTED_VALUE"""),259.88)</f>
        <v>259.88</v>
      </c>
      <c r="D123" s="2">
        <f>IFERROR(__xludf.DUMMYFUNCTION("""COMPUTED_VALUE"""),248.89)</f>
        <v>248.89</v>
      </c>
      <c r="E123" s="2">
        <f>IFERROR(__xludf.DUMMYFUNCTION("""COMPUTED_VALUE"""),256.24)</f>
        <v>256.24</v>
      </c>
      <c r="F123" s="2">
        <f>IFERROR(__xludf.DUMMYFUNCTION("""COMPUTED_VALUE"""),1.59770797E8)</f>
        <v>159770797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IFERROR(__xludf.DUMMYFUNCTION("""COMPUTED_VALUE"""),258.03)</f>
        <v>258.03</v>
      </c>
      <c r="C124" s="2">
        <f>IFERROR(__xludf.DUMMYFUNCTION("""COMPUTED_VALUE"""),260.74)</f>
        <v>260.74</v>
      </c>
      <c r="D124" s="2">
        <f>IFERROR(__xludf.DUMMYFUNCTION("""COMPUTED_VALUE"""),253.61)</f>
        <v>253.61</v>
      </c>
      <c r="E124" s="2">
        <f>IFERROR(__xludf.DUMMYFUNCTION("""COMPUTED_VALUE"""),257.5)</f>
        <v>257.5</v>
      </c>
      <c r="F124" s="2">
        <f>IFERROR(__xludf.DUMMYFUNCTION("""COMPUTED_VALUE"""),1.3128336E8)</f>
        <v>131283360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IFERROR(__xludf.DUMMYFUNCTION("""COMPUTED_VALUE"""),260.6)</f>
        <v>260.6</v>
      </c>
      <c r="C125" s="2">
        <f>IFERROR(__xludf.DUMMYFUNCTION("""COMPUTED_VALUE"""),264.45)</f>
        <v>264.45</v>
      </c>
      <c r="D125" s="2">
        <f>IFERROR(__xludf.DUMMYFUNCTION("""COMPUTED_VALUE"""),259.89)</f>
        <v>259.89</v>
      </c>
      <c r="E125" s="2">
        <f>IFERROR(__xludf.DUMMYFUNCTION("""COMPUTED_VALUE"""),261.77)</f>
        <v>261.77</v>
      </c>
      <c r="F125" s="2">
        <f>IFERROR(__xludf.DUMMYFUNCTION("""COMPUTED_VALUE"""),1.12620784E8)</f>
        <v>112620784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IFERROR(__xludf.DUMMYFUNCTION("""COMPUTED_VALUE"""),276.49)</f>
        <v>276.49</v>
      </c>
      <c r="C126" s="2">
        <f>IFERROR(__xludf.DUMMYFUNCTION("""COMPUTED_VALUE"""),284.25)</f>
        <v>284.25</v>
      </c>
      <c r="D126" s="2">
        <f>IFERROR(__xludf.DUMMYFUNCTION("""COMPUTED_VALUE"""),275.11)</f>
        <v>275.11</v>
      </c>
      <c r="E126" s="2">
        <f>IFERROR(__xludf.DUMMYFUNCTION("""COMPUTED_VALUE"""),279.82)</f>
        <v>279.82</v>
      </c>
      <c r="F126" s="2">
        <f>IFERROR(__xludf.DUMMYFUNCTION("""COMPUTED_VALUE"""),1.19685891E8)</f>
        <v>119685891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IFERROR(__xludf.DUMMYFUNCTION("""COMPUTED_VALUE"""),278.82)</f>
        <v>278.82</v>
      </c>
      <c r="C127" s="2">
        <f>IFERROR(__xludf.DUMMYFUNCTION("""COMPUTED_VALUE"""),283.85)</f>
        <v>283.85</v>
      </c>
      <c r="D127" s="2">
        <f>IFERROR(__xludf.DUMMYFUNCTION("""COMPUTED_VALUE"""),277.6)</f>
        <v>277.6</v>
      </c>
      <c r="E127" s="2">
        <f>IFERROR(__xludf.DUMMYFUNCTION("""COMPUTED_VALUE"""),282.48)</f>
        <v>282.48</v>
      </c>
      <c r="F127" s="2">
        <f>IFERROR(__xludf.DUMMYFUNCTION("""COMPUTED_VALUE"""),1.31530862E8)</f>
        <v>131530862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IFERROR(__xludf.DUMMYFUNCTION("""COMPUTED_VALUE"""),278.09)</f>
        <v>278.09</v>
      </c>
      <c r="C128" s="2">
        <f>IFERROR(__xludf.DUMMYFUNCTION("""COMPUTED_VALUE"""),279.97)</f>
        <v>279.97</v>
      </c>
      <c r="D128" s="2">
        <f>IFERROR(__xludf.DUMMYFUNCTION("""COMPUTED_VALUE"""),272.88)</f>
        <v>272.88</v>
      </c>
      <c r="E128" s="2">
        <f>IFERROR(__xludf.DUMMYFUNCTION("""COMPUTED_VALUE"""),276.54)</f>
        <v>276.54</v>
      </c>
      <c r="F128" s="2">
        <f>IFERROR(__xludf.DUMMYFUNCTION("""COMPUTED_VALUE"""),1.20707419E8)</f>
        <v>120707419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IFERROR(__xludf.DUMMYFUNCTION("""COMPUTED_VALUE"""),278.43)</f>
        <v>278.43</v>
      </c>
      <c r="C129" s="2">
        <f>IFERROR(__xludf.DUMMYFUNCTION("""COMPUTED_VALUE"""),280.78)</f>
        <v>280.78</v>
      </c>
      <c r="D129" s="2">
        <f>IFERROR(__xludf.DUMMYFUNCTION("""COMPUTED_VALUE"""),273.77)</f>
        <v>273.77</v>
      </c>
      <c r="E129" s="2">
        <f>IFERROR(__xludf.DUMMYFUNCTION("""COMPUTED_VALUE"""),274.43)</f>
        <v>274.43</v>
      </c>
      <c r="F129" s="2">
        <f>IFERROR(__xludf.DUMMYFUNCTION("""COMPUTED_VALUE"""),1.13879174E8)</f>
        <v>113879174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IFERROR(__xludf.DUMMYFUNCTION("""COMPUTED_VALUE"""),276.47)</f>
        <v>276.47</v>
      </c>
      <c r="C130" s="2">
        <f>IFERROR(__xludf.DUMMYFUNCTION("""COMPUTED_VALUE"""),277.52)</f>
        <v>277.52</v>
      </c>
      <c r="D130" s="2">
        <f>IFERROR(__xludf.DUMMYFUNCTION("""COMPUTED_VALUE"""),265.1)</f>
        <v>265.1</v>
      </c>
      <c r="E130" s="2">
        <f>IFERROR(__xludf.DUMMYFUNCTION("""COMPUTED_VALUE"""),269.61)</f>
        <v>269.61</v>
      </c>
      <c r="F130" s="2">
        <f>IFERROR(__xludf.DUMMYFUNCTION("""COMPUTED_VALUE"""),1.19425405E8)</f>
        <v>119425405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IFERROR(__xludf.DUMMYFUNCTION("""COMPUTED_VALUE"""),268.65)</f>
        <v>268.65</v>
      </c>
      <c r="C131" s="2">
        <f>IFERROR(__xludf.DUMMYFUNCTION("""COMPUTED_VALUE"""),270.9)</f>
        <v>270.9</v>
      </c>
      <c r="D131" s="2">
        <f>IFERROR(__xludf.DUMMYFUNCTION("""COMPUTED_VALUE"""),266.37)</f>
        <v>266.37</v>
      </c>
      <c r="E131" s="2">
        <f>IFERROR(__xludf.DUMMYFUNCTION("""COMPUTED_VALUE"""),269.79)</f>
        <v>269.79</v>
      </c>
      <c r="F131" s="2">
        <f>IFERROR(__xludf.DUMMYFUNCTION("""COMPUTED_VALUE"""),9.1972358E7)</f>
        <v>91972358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IFERROR(__xludf.DUMMYFUNCTION("""COMPUTED_VALUE"""),276.33)</f>
        <v>276.33</v>
      </c>
      <c r="C132" s="2">
        <f>IFERROR(__xludf.DUMMYFUNCTION("""COMPUTED_VALUE"""),276.52)</f>
        <v>276.52</v>
      </c>
      <c r="D132" s="2">
        <f>IFERROR(__xludf.DUMMYFUNCTION("""COMPUTED_VALUE"""),271.46)</f>
        <v>271.46</v>
      </c>
      <c r="E132" s="2">
        <f>IFERROR(__xludf.DUMMYFUNCTION("""COMPUTED_VALUE"""),271.99)</f>
        <v>271.99</v>
      </c>
      <c r="F132" s="2">
        <f>IFERROR(__xludf.DUMMYFUNCTION("""COMPUTED_VALUE"""),9.5672139E7)</f>
        <v>95672139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IFERROR(__xludf.DUMMYFUNCTION("""COMPUTED_VALUE"""),274.59)</f>
        <v>274.59</v>
      </c>
      <c r="C133" s="2">
        <f>IFERROR(__xludf.DUMMYFUNCTION("""COMPUTED_VALUE"""),279.45)</f>
        <v>279.45</v>
      </c>
      <c r="D133" s="2">
        <f>IFERROR(__xludf.DUMMYFUNCTION("""COMPUTED_VALUE"""),270.6)</f>
        <v>270.6</v>
      </c>
      <c r="E133" s="2">
        <f>IFERROR(__xludf.DUMMYFUNCTION("""COMPUTED_VALUE"""),277.9)</f>
        <v>277.9</v>
      </c>
      <c r="F133" s="2">
        <f>IFERROR(__xludf.DUMMYFUNCTION("""COMPUTED_VALUE"""),1.12681458E8)</f>
        <v>112681458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IFERROR(__xludf.DUMMYFUNCTION("""COMPUTED_VALUE"""),277.01)</f>
        <v>277.01</v>
      </c>
      <c r="C134" s="2">
        <f>IFERROR(__xludf.DUMMYFUNCTION("""COMPUTED_VALUE"""),285.3)</f>
        <v>285.3</v>
      </c>
      <c r="D134" s="2">
        <f>IFERROR(__xludf.DUMMYFUNCTION("""COMPUTED_VALUE"""),276.31)</f>
        <v>276.31</v>
      </c>
      <c r="E134" s="2">
        <f>IFERROR(__xludf.DUMMYFUNCTION("""COMPUTED_VALUE"""),281.38)</f>
        <v>281.38</v>
      </c>
      <c r="F134" s="2">
        <f>IFERROR(__xludf.DUMMYFUNCTION("""COMPUTED_VALUE"""),1.20062369E8)</f>
        <v>120062369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IFERROR(__xludf.DUMMYFUNCTION("""COMPUTED_VALUE"""),286.63)</f>
        <v>286.63</v>
      </c>
      <c r="C135" s="2">
        <f>IFERROR(__xludf.DUMMYFUNCTION("""COMPUTED_VALUE"""),292.23)</f>
        <v>292.23</v>
      </c>
      <c r="D135" s="2">
        <f>IFERROR(__xludf.DUMMYFUNCTION("""COMPUTED_VALUE"""),283.57)</f>
        <v>283.57</v>
      </c>
      <c r="E135" s="2">
        <f>IFERROR(__xludf.DUMMYFUNCTION("""COMPUTED_VALUE"""),290.38)</f>
        <v>290.38</v>
      </c>
      <c r="F135" s="2">
        <f>IFERROR(__xludf.DUMMYFUNCTION("""COMPUTED_VALUE"""),1.31569593E8)</f>
        <v>131569593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IFERROR(__xludf.DUMMYFUNCTION("""COMPUTED_VALUE"""),290.15)</f>
        <v>290.15</v>
      </c>
      <c r="C136" s="2">
        <f>IFERROR(__xludf.DUMMYFUNCTION("""COMPUTED_VALUE"""),295.26)</f>
        <v>295.26</v>
      </c>
      <c r="D136" s="2">
        <f>IFERROR(__xludf.DUMMYFUNCTION("""COMPUTED_VALUE"""),286.01)</f>
        <v>286.01</v>
      </c>
      <c r="E136" s="2">
        <f>IFERROR(__xludf.DUMMYFUNCTION("""COMPUTED_VALUE"""),293.34)</f>
        <v>293.34</v>
      </c>
      <c r="F136" s="2">
        <f>IFERROR(__xludf.DUMMYFUNCTION("""COMPUTED_VALUE"""),1.12434713E8)</f>
        <v>112434713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IFERROR(__xludf.DUMMYFUNCTION("""COMPUTED_VALUE"""),296.04)</f>
        <v>296.04</v>
      </c>
      <c r="C137" s="2">
        <f>IFERROR(__xludf.DUMMYFUNCTION("""COMPUTED_VALUE"""),299.29)</f>
        <v>299.29</v>
      </c>
      <c r="D137" s="2">
        <f>IFERROR(__xludf.DUMMYFUNCTION("""COMPUTED_VALUE"""),289.52)</f>
        <v>289.52</v>
      </c>
      <c r="E137" s="2">
        <f>IFERROR(__xludf.DUMMYFUNCTION("""COMPUTED_VALUE"""),291.26)</f>
        <v>291.26</v>
      </c>
      <c r="F137" s="2">
        <f>IFERROR(__xludf.DUMMYFUNCTION("""COMPUTED_VALUE"""),1.42355353E8)</f>
        <v>142355353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IFERROR(__xludf.DUMMYFUNCTION("""COMPUTED_VALUE"""),279.56)</f>
        <v>279.56</v>
      </c>
      <c r="C138" s="2">
        <f>IFERROR(__xludf.DUMMYFUNCTION("""COMPUTED_VALUE"""),280.93)</f>
        <v>280.93</v>
      </c>
      <c r="D138" s="2">
        <f>IFERROR(__xludf.DUMMYFUNCTION("""COMPUTED_VALUE"""),261.2)</f>
        <v>261.2</v>
      </c>
      <c r="E138" s="2">
        <f>IFERROR(__xludf.DUMMYFUNCTION("""COMPUTED_VALUE"""),262.9)</f>
        <v>262.9</v>
      </c>
      <c r="F138" s="2">
        <f>IFERROR(__xludf.DUMMYFUNCTION("""COMPUTED_VALUE"""),1.75158273E8)</f>
        <v>175158273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IFERROR(__xludf.DUMMYFUNCTION("""COMPUTED_VALUE"""),268.0)</f>
        <v>268</v>
      </c>
      <c r="C139" s="2">
        <f>IFERROR(__xludf.DUMMYFUNCTION("""COMPUTED_VALUE"""),268.0)</f>
        <v>268</v>
      </c>
      <c r="D139" s="2">
        <f>IFERROR(__xludf.DUMMYFUNCTION("""COMPUTED_VALUE"""),255.8)</f>
        <v>255.8</v>
      </c>
      <c r="E139" s="2">
        <f>IFERROR(__xludf.DUMMYFUNCTION("""COMPUTED_VALUE"""),260.02)</f>
        <v>260.02</v>
      </c>
      <c r="F139" s="2">
        <f>IFERROR(__xludf.DUMMYFUNCTION("""COMPUTED_VALUE"""),1.61796073E8)</f>
        <v>161796073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IFERROR(__xludf.DUMMYFUNCTION("""COMPUTED_VALUE"""),255.85)</f>
        <v>255.85</v>
      </c>
      <c r="C140" s="2">
        <f>IFERROR(__xludf.DUMMYFUNCTION("""COMPUTED_VALUE"""),269.85)</f>
        <v>269.85</v>
      </c>
      <c r="D140" s="2">
        <f>IFERROR(__xludf.DUMMYFUNCTION("""COMPUTED_VALUE"""),254.12)</f>
        <v>254.12</v>
      </c>
      <c r="E140" s="2">
        <f>IFERROR(__xludf.DUMMYFUNCTION("""COMPUTED_VALUE"""),269.06)</f>
        <v>269.06</v>
      </c>
      <c r="F140" s="2">
        <f>IFERROR(__xludf.DUMMYFUNCTION("""COMPUTED_VALUE"""),1.37005037E8)</f>
        <v>137005037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IFERROR(__xludf.DUMMYFUNCTION("""COMPUTED_VALUE"""),272.38)</f>
        <v>272.38</v>
      </c>
      <c r="C141" s="2">
        <f>IFERROR(__xludf.DUMMYFUNCTION("""COMPUTED_VALUE"""),272.9)</f>
        <v>272.9</v>
      </c>
      <c r="D141" s="2">
        <f>IFERROR(__xludf.DUMMYFUNCTION("""COMPUTED_VALUE"""),265.0)</f>
        <v>265</v>
      </c>
      <c r="E141" s="2">
        <f>IFERROR(__xludf.DUMMYFUNCTION("""COMPUTED_VALUE"""),265.28)</f>
        <v>265.28</v>
      </c>
      <c r="F141" s="2">
        <f>IFERROR(__xludf.DUMMYFUNCTION("""COMPUTED_VALUE"""),1.12757327E8)</f>
        <v>112757327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IFERROR(__xludf.DUMMYFUNCTION("""COMPUTED_VALUE"""),263.25)</f>
        <v>263.25</v>
      </c>
      <c r="C142" s="2">
        <f>IFERROR(__xludf.DUMMYFUNCTION("""COMPUTED_VALUE"""),268.04)</f>
        <v>268.04</v>
      </c>
      <c r="D142" s="2">
        <f>IFERROR(__xludf.DUMMYFUNCTION("""COMPUTED_VALUE"""),261.75)</f>
        <v>261.75</v>
      </c>
      <c r="E142" s="2">
        <f>IFERROR(__xludf.DUMMYFUNCTION("""COMPUTED_VALUE"""),264.35)</f>
        <v>264.35</v>
      </c>
      <c r="F142" s="2">
        <f>IFERROR(__xludf.DUMMYFUNCTION("""COMPUTED_VALUE"""),9.5856177E7)</f>
        <v>95856177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IFERROR(__xludf.DUMMYFUNCTION("""COMPUTED_VALUE"""),268.31)</f>
        <v>268.31</v>
      </c>
      <c r="C143" s="2">
        <f>IFERROR(__xludf.DUMMYFUNCTION("""COMPUTED_VALUE"""),269.13)</f>
        <v>269.13</v>
      </c>
      <c r="D143" s="2">
        <f>IFERROR(__xludf.DUMMYFUNCTION("""COMPUTED_VALUE"""),255.3)</f>
        <v>255.3</v>
      </c>
      <c r="E143" s="2">
        <f>IFERROR(__xludf.DUMMYFUNCTION("""COMPUTED_VALUE"""),255.71)</f>
        <v>255.71</v>
      </c>
      <c r="F143" s="2">
        <f>IFERROR(__xludf.DUMMYFUNCTION("""COMPUTED_VALUE"""),1.03697263E8)</f>
        <v>103697263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IFERROR(__xludf.DUMMYFUNCTION("""COMPUTED_VALUE"""),259.86)</f>
        <v>259.86</v>
      </c>
      <c r="C144" s="2">
        <f>IFERROR(__xludf.DUMMYFUNCTION("""COMPUTED_VALUE"""),267.25)</f>
        <v>267.25</v>
      </c>
      <c r="D144" s="2">
        <f>IFERROR(__xludf.DUMMYFUNCTION("""COMPUTED_VALUE"""),258.23)</f>
        <v>258.23</v>
      </c>
      <c r="E144" s="2">
        <f>IFERROR(__xludf.DUMMYFUNCTION("""COMPUTED_VALUE"""),266.44)</f>
        <v>266.44</v>
      </c>
      <c r="F144" s="2">
        <f>IFERROR(__xludf.DUMMYFUNCTION("""COMPUTED_VALUE"""),1.11446026E8)</f>
        <v>111446026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IFERROR(__xludf.DUMMYFUNCTION("""COMPUTED_VALUE"""),267.48)</f>
        <v>267.48</v>
      </c>
      <c r="C145" s="2">
        <f>IFERROR(__xludf.DUMMYFUNCTION("""COMPUTED_VALUE"""),269.08)</f>
        <v>269.08</v>
      </c>
      <c r="D145" s="2">
        <f>IFERROR(__xludf.DUMMYFUNCTION("""COMPUTED_VALUE"""),263.78)</f>
        <v>263.78</v>
      </c>
      <c r="E145" s="2">
        <f>IFERROR(__xludf.DUMMYFUNCTION("""COMPUTED_VALUE"""),267.43)</f>
        <v>267.43</v>
      </c>
      <c r="F145" s="2">
        <f>IFERROR(__xludf.DUMMYFUNCTION("""COMPUTED_VALUE"""),8.4582172E7)</f>
        <v>84582172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IFERROR(__xludf.DUMMYFUNCTION("""COMPUTED_VALUE"""),266.26)</f>
        <v>266.26</v>
      </c>
      <c r="C146" s="2">
        <f>IFERROR(__xludf.DUMMYFUNCTION("""COMPUTED_VALUE"""),266.47)</f>
        <v>266.47</v>
      </c>
      <c r="D146" s="2">
        <f>IFERROR(__xludf.DUMMYFUNCTION("""COMPUTED_VALUE"""),260.25)</f>
        <v>260.25</v>
      </c>
      <c r="E146" s="2">
        <f>IFERROR(__xludf.DUMMYFUNCTION("""COMPUTED_VALUE"""),261.07)</f>
        <v>261.07</v>
      </c>
      <c r="F146" s="2">
        <f>IFERROR(__xludf.DUMMYFUNCTION("""COMPUTED_VALUE"""),8.364572E7)</f>
        <v>83645720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IFERROR(__xludf.DUMMYFUNCTION("""COMPUTED_VALUE"""),255.57)</f>
        <v>255.57</v>
      </c>
      <c r="C147" s="2">
        <f>IFERROR(__xludf.DUMMYFUNCTION("""COMPUTED_VALUE"""),259.52)</f>
        <v>259.52</v>
      </c>
      <c r="D147" s="2">
        <f>IFERROR(__xludf.DUMMYFUNCTION("""COMPUTED_VALUE"""),250.49)</f>
        <v>250.49</v>
      </c>
      <c r="E147" s="2">
        <f>IFERROR(__xludf.DUMMYFUNCTION("""COMPUTED_VALUE"""),254.11)</f>
        <v>254.11</v>
      </c>
      <c r="F147" s="2">
        <f>IFERROR(__xludf.DUMMYFUNCTION("""COMPUTED_VALUE"""),1.01752865E8)</f>
        <v>101752865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IFERROR(__xludf.DUMMYFUNCTION("""COMPUTED_VALUE"""),252.04)</f>
        <v>252.04</v>
      </c>
      <c r="C148" s="2">
        <f>IFERROR(__xludf.DUMMYFUNCTION("""COMPUTED_VALUE"""),260.49)</f>
        <v>260.49</v>
      </c>
      <c r="D148" s="2">
        <f>IFERROR(__xludf.DUMMYFUNCTION("""COMPUTED_VALUE"""),252.0)</f>
        <v>252</v>
      </c>
      <c r="E148" s="2">
        <f>IFERROR(__xludf.DUMMYFUNCTION("""COMPUTED_VALUE"""),259.32)</f>
        <v>259.32</v>
      </c>
      <c r="F148" s="2">
        <f>IFERROR(__xludf.DUMMYFUNCTION("""COMPUTED_VALUE"""),9.7829545E7)</f>
        <v>97829545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IFERROR(__xludf.DUMMYFUNCTION("""COMPUTED_VALUE"""),260.97)</f>
        <v>260.97</v>
      </c>
      <c r="C149" s="2">
        <f>IFERROR(__xludf.DUMMYFUNCTION("""COMPUTED_VALUE"""),264.77)</f>
        <v>264.77</v>
      </c>
      <c r="D149" s="2">
        <f>IFERROR(__xludf.DUMMYFUNCTION("""COMPUTED_VALUE"""),253.11)</f>
        <v>253.11</v>
      </c>
      <c r="E149" s="2">
        <f>IFERROR(__xludf.DUMMYFUNCTION("""COMPUTED_VALUE"""),253.86)</f>
        <v>253.86</v>
      </c>
      <c r="F149" s="2">
        <f>IFERROR(__xludf.DUMMYFUNCTION("""COMPUTED_VALUE"""),9.9539907E7)</f>
        <v>99539907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IFERROR(__xludf.DUMMYFUNCTION("""COMPUTED_VALUE"""),251.45)</f>
        <v>251.45</v>
      </c>
      <c r="C150" s="2">
        <f>IFERROR(__xludf.DUMMYFUNCTION("""COMPUTED_VALUE"""),253.65)</f>
        <v>253.65</v>
      </c>
      <c r="D150" s="2">
        <f>IFERROR(__xludf.DUMMYFUNCTION("""COMPUTED_VALUE"""),242.76)</f>
        <v>242.76</v>
      </c>
      <c r="E150" s="2">
        <f>IFERROR(__xludf.DUMMYFUNCTION("""COMPUTED_VALUE"""),251.45)</f>
        <v>251.45</v>
      </c>
      <c r="F150" s="2">
        <f>IFERROR(__xludf.DUMMYFUNCTION("""COMPUTED_VALUE"""),1.11097943E8)</f>
        <v>111097943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IFERROR(__xludf.DUMMYFUNCTION("""COMPUTED_VALUE"""),247.45)</f>
        <v>247.45</v>
      </c>
      <c r="C151" s="2">
        <f>IFERROR(__xludf.DUMMYFUNCTION("""COMPUTED_VALUE"""),250.92)</f>
        <v>250.92</v>
      </c>
      <c r="D151" s="2">
        <f>IFERROR(__xludf.DUMMYFUNCTION("""COMPUTED_VALUE"""),245.01)</f>
        <v>245.01</v>
      </c>
      <c r="E151" s="2">
        <f>IFERROR(__xludf.DUMMYFUNCTION("""COMPUTED_VALUE"""),249.7)</f>
        <v>249.7</v>
      </c>
      <c r="F151" s="2">
        <f>IFERROR(__xludf.DUMMYFUNCTION("""COMPUTED_VALUE"""),9.6642183E7)</f>
        <v>96642183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IFERROR(__xludf.DUMMYFUNCTION("""COMPUTED_VALUE"""),250.87)</f>
        <v>250.87</v>
      </c>
      <c r="C152" s="2">
        <f>IFERROR(__xludf.DUMMYFUNCTION("""COMPUTED_VALUE"""),251.1)</f>
        <v>251.1</v>
      </c>
      <c r="D152" s="2">
        <f>IFERROR(__xludf.DUMMYFUNCTION("""COMPUTED_VALUE"""),241.9)</f>
        <v>241.9</v>
      </c>
      <c r="E152" s="2">
        <f>IFERROR(__xludf.DUMMYFUNCTION("""COMPUTED_VALUE"""),242.19)</f>
        <v>242.19</v>
      </c>
      <c r="F152" s="2">
        <f>IFERROR(__xludf.DUMMYFUNCTION("""COMPUTED_VALUE"""),1.01596324E8)</f>
        <v>101596324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IFERROR(__xludf.DUMMYFUNCTION("""COMPUTED_VALUE"""),245.4)</f>
        <v>245.4</v>
      </c>
      <c r="C153" s="2">
        <f>IFERROR(__xludf.DUMMYFUNCTION("""COMPUTED_VALUE"""),251.8)</f>
        <v>251.8</v>
      </c>
      <c r="D153" s="2">
        <f>IFERROR(__xludf.DUMMYFUNCTION("""COMPUTED_VALUE"""),243.0)</f>
        <v>243</v>
      </c>
      <c r="E153" s="2">
        <f>IFERROR(__xludf.DUMMYFUNCTION("""COMPUTED_VALUE"""),245.34)</f>
        <v>245.34</v>
      </c>
      <c r="F153" s="2">
        <f>IFERROR(__xludf.DUMMYFUNCTION("""COMPUTED_VALUE"""),1.09498608E8)</f>
        <v>109498608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IFERROR(__xludf.DUMMYFUNCTION("""COMPUTED_VALUE"""),241.77)</f>
        <v>241.77</v>
      </c>
      <c r="C154" s="2">
        <f>IFERROR(__xludf.DUMMYFUNCTION("""COMPUTED_VALUE"""),243.79)</f>
        <v>243.79</v>
      </c>
      <c r="D154" s="2">
        <f>IFERROR(__xludf.DUMMYFUNCTION("""COMPUTED_VALUE"""),238.02)</f>
        <v>238.02</v>
      </c>
      <c r="E154" s="2">
        <f>IFERROR(__xludf.DUMMYFUNCTION("""COMPUTED_VALUE"""),242.65)</f>
        <v>242.65</v>
      </c>
      <c r="F154" s="2">
        <f>IFERROR(__xludf.DUMMYFUNCTION("""COMPUTED_VALUE"""),9.9038642E7)</f>
        <v>99038642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IFERROR(__xludf.DUMMYFUNCTION("""COMPUTED_VALUE"""),235.7)</f>
        <v>235.7</v>
      </c>
      <c r="C155" s="2">
        <f>IFERROR(__xludf.DUMMYFUNCTION("""COMPUTED_VALUE"""),240.66)</f>
        <v>240.66</v>
      </c>
      <c r="D155" s="2">
        <f>IFERROR(__xludf.DUMMYFUNCTION("""COMPUTED_VALUE"""),233.75)</f>
        <v>233.75</v>
      </c>
      <c r="E155" s="2">
        <f>IFERROR(__xludf.DUMMYFUNCTION("""COMPUTED_VALUE"""),239.76)</f>
        <v>239.76</v>
      </c>
      <c r="F155" s="2">
        <f>IFERROR(__xludf.DUMMYFUNCTION("""COMPUTED_VALUE"""),9.8595331E7)</f>
        <v>98595331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IFERROR(__xludf.DUMMYFUNCTION("""COMPUTED_VALUE"""),238.73)</f>
        <v>238.73</v>
      </c>
      <c r="C156" s="2">
        <f>IFERROR(__xludf.DUMMYFUNCTION("""COMPUTED_VALUE"""),240.5)</f>
        <v>240.5</v>
      </c>
      <c r="D156" s="2">
        <f>IFERROR(__xludf.DUMMYFUNCTION("""COMPUTED_VALUE"""),232.61)</f>
        <v>232.61</v>
      </c>
      <c r="E156" s="2">
        <f>IFERROR(__xludf.DUMMYFUNCTION("""COMPUTED_VALUE"""),232.96)</f>
        <v>232.96</v>
      </c>
      <c r="F156" s="2">
        <f>IFERROR(__xludf.DUMMYFUNCTION("""COMPUTED_VALUE"""),8.8197599E7)</f>
        <v>88197599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IFERROR(__xludf.DUMMYFUNCTION("""COMPUTED_VALUE"""),228.02)</f>
        <v>228.02</v>
      </c>
      <c r="C157" s="2">
        <f>IFERROR(__xludf.DUMMYFUNCTION("""COMPUTED_VALUE"""),233.97)</f>
        <v>233.97</v>
      </c>
      <c r="D157" s="2">
        <f>IFERROR(__xludf.DUMMYFUNCTION("""COMPUTED_VALUE"""),225.38)</f>
        <v>225.38</v>
      </c>
      <c r="E157" s="2">
        <f>IFERROR(__xludf.DUMMYFUNCTION("""COMPUTED_VALUE"""),225.6)</f>
        <v>225.6</v>
      </c>
      <c r="F157" s="2">
        <f>IFERROR(__xludf.DUMMYFUNCTION("""COMPUTED_VALUE"""),1.1248452E8)</f>
        <v>112484520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IFERROR(__xludf.DUMMYFUNCTION("""COMPUTED_VALUE"""),226.06)</f>
        <v>226.06</v>
      </c>
      <c r="C158" s="2">
        <f>IFERROR(__xludf.DUMMYFUNCTION("""COMPUTED_VALUE"""),226.74)</f>
        <v>226.74</v>
      </c>
      <c r="D158" s="2">
        <f>IFERROR(__xludf.DUMMYFUNCTION("""COMPUTED_VALUE"""),218.83)</f>
        <v>218.83</v>
      </c>
      <c r="E158" s="2">
        <f>IFERROR(__xludf.DUMMYFUNCTION("""COMPUTED_VALUE"""),219.22)</f>
        <v>219.22</v>
      </c>
      <c r="F158" s="2">
        <f>IFERROR(__xludf.DUMMYFUNCTION("""COMPUTED_VALUE"""),1.20718417E8)</f>
        <v>120718417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IFERROR(__xludf.DUMMYFUNCTION("""COMPUTED_VALUE"""),214.12)</f>
        <v>214.12</v>
      </c>
      <c r="C159" s="2">
        <f>IFERROR(__xludf.DUMMYFUNCTION("""COMPUTED_VALUE"""),217.58)</f>
        <v>217.58</v>
      </c>
      <c r="D159" s="2">
        <f>IFERROR(__xludf.DUMMYFUNCTION("""COMPUTED_VALUE"""),212.36)</f>
        <v>212.36</v>
      </c>
      <c r="E159" s="2">
        <f>IFERROR(__xludf.DUMMYFUNCTION("""COMPUTED_VALUE"""),215.49)</f>
        <v>215.49</v>
      </c>
      <c r="F159" s="2">
        <f>IFERROR(__xludf.DUMMYFUNCTION("""COMPUTED_VALUE"""),1.36276584E8)</f>
        <v>136276584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IFERROR(__xludf.DUMMYFUNCTION("""COMPUTED_VALUE"""),221.55)</f>
        <v>221.55</v>
      </c>
      <c r="C160" s="2">
        <f>IFERROR(__xludf.DUMMYFUNCTION("""COMPUTED_VALUE"""),232.13)</f>
        <v>232.13</v>
      </c>
      <c r="D160" s="2">
        <f>IFERROR(__xludf.DUMMYFUNCTION("""COMPUTED_VALUE"""),220.58)</f>
        <v>220.58</v>
      </c>
      <c r="E160" s="2">
        <f>IFERROR(__xludf.DUMMYFUNCTION("""COMPUTED_VALUE"""),231.28)</f>
        <v>231.28</v>
      </c>
      <c r="F160" s="2">
        <f>IFERROR(__xludf.DUMMYFUNCTION("""COMPUTED_VALUE"""),1.35702671E8)</f>
        <v>135702671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IFERROR(__xludf.DUMMYFUNCTION("""COMPUTED_VALUE"""),240.25)</f>
        <v>240.25</v>
      </c>
      <c r="C161" s="2">
        <f>IFERROR(__xludf.DUMMYFUNCTION("""COMPUTED_VALUE"""),240.82)</f>
        <v>240.82</v>
      </c>
      <c r="D161" s="2">
        <f>IFERROR(__xludf.DUMMYFUNCTION("""COMPUTED_VALUE"""),229.55)</f>
        <v>229.55</v>
      </c>
      <c r="E161" s="2">
        <f>IFERROR(__xludf.DUMMYFUNCTION("""COMPUTED_VALUE"""),233.19)</f>
        <v>233.19</v>
      </c>
      <c r="F161" s="2">
        <f>IFERROR(__xludf.DUMMYFUNCTION("""COMPUTED_VALUE"""),1.30597886E8)</f>
        <v>130597886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IFERROR(__xludf.DUMMYFUNCTION("""COMPUTED_VALUE"""),229.34)</f>
        <v>229.34</v>
      </c>
      <c r="C162" s="2">
        <f>IFERROR(__xludf.DUMMYFUNCTION("""COMPUTED_VALUE"""),238.98)</f>
        <v>238.98</v>
      </c>
      <c r="D162" s="2">
        <f>IFERROR(__xludf.DUMMYFUNCTION("""COMPUTED_VALUE"""),229.29)</f>
        <v>229.29</v>
      </c>
      <c r="E162" s="2">
        <f>IFERROR(__xludf.DUMMYFUNCTION("""COMPUTED_VALUE"""),236.86)</f>
        <v>236.86</v>
      </c>
      <c r="F162" s="2">
        <f>IFERROR(__xludf.DUMMYFUNCTION("""COMPUTED_VALUE"""),1.01077635E8)</f>
        <v>101077635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IFERROR(__xludf.DUMMYFUNCTION("""COMPUTED_VALUE"""),238.66)</f>
        <v>238.66</v>
      </c>
      <c r="C163" s="2">
        <f>IFERROR(__xludf.DUMMYFUNCTION("""COMPUTED_VALUE"""),238.92)</f>
        <v>238.92</v>
      </c>
      <c r="D163" s="2">
        <f>IFERROR(__xludf.DUMMYFUNCTION("""COMPUTED_VALUE"""),228.18)</f>
        <v>228.18</v>
      </c>
      <c r="E163" s="2">
        <f>IFERROR(__xludf.DUMMYFUNCTION("""COMPUTED_VALUE"""),230.04)</f>
        <v>230.04</v>
      </c>
      <c r="F163" s="2">
        <f>IFERROR(__xludf.DUMMYFUNCTION("""COMPUTED_VALUE"""),9.9777432E7)</f>
        <v>99777432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IFERROR(__xludf.DUMMYFUNCTION("""COMPUTED_VALUE"""),231.31)</f>
        <v>231.31</v>
      </c>
      <c r="C164" s="2">
        <f>IFERROR(__xludf.DUMMYFUNCTION("""COMPUTED_VALUE"""),239.0)</f>
        <v>239</v>
      </c>
      <c r="D164" s="2">
        <f>IFERROR(__xludf.DUMMYFUNCTION("""COMPUTED_VALUE"""),230.35)</f>
        <v>230.35</v>
      </c>
      <c r="E164" s="2">
        <f>IFERROR(__xludf.DUMMYFUNCTION("""COMPUTED_VALUE"""),238.59)</f>
        <v>238.59</v>
      </c>
      <c r="F164" s="2">
        <f>IFERROR(__xludf.DUMMYFUNCTION("""COMPUTED_VALUE"""),1.06612231E8)</f>
        <v>106612231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IFERROR(__xludf.DUMMYFUNCTION("""COMPUTED_VALUE"""),242.58)</f>
        <v>242.58</v>
      </c>
      <c r="C165" s="2">
        <f>IFERROR(__xludf.DUMMYFUNCTION("""COMPUTED_VALUE"""),244.38)</f>
        <v>244.38</v>
      </c>
      <c r="D165" s="2">
        <f>IFERROR(__xludf.DUMMYFUNCTION("""COMPUTED_VALUE"""),235.35)</f>
        <v>235.35</v>
      </c>
      <c r="E165" s="2">
        <f>IFERROR(__xludf.DUMMYFUNCTION("""COMPUTED_VALUE"""),238.82)</f>
        <v>238.82</v>
      </c>
      <c r="F165" s="2">
        <f>IFERROR(__xludf.DUMMYFUNCTION("""COMPUTED_VALUE"""),1.07673727E8)</f>
        <v>107673727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IFERROR(__xludf.DUMMYFUNCTION("""COMPUTED_VALUE"""),238.58)</f>
        <v>238.58</v>
      </c>
      <c r="C166" s="2">
        <f>IFERROR(__xludf.DUMMYFUNCTION("""COMPUTED_VALUE"""),257.48)</f>
        <v>257.48</v>
      </c>
      <c r="D166" s="2">
        <f>IFERROR(__xludf.DUMMYFUNCTION("""COMPUTED_VALUE"""),237.77)</f>
        <v>237.77</v>
      </c>
      <c r="E166" s="2">
        <f>IFERROR(__xludf.DUMMYFUNCTION("""COMPUTED_VALUE"""),257.18)</f>
        <v>257.18</v>
      </c>
      <c r="F166" s="2">
        <f>IFERROR(__xludf.DUMMYFUNCTION("""COMPUTED_VALUE"""),1.34047603E8)</f>
        <v>134047603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IFERROR(__xludf.DUMMYFUNCTION("""COMPUTED_VALUE"""),254.2)</f>
        <v>254.2</v>
      </c>
      <c r="C167" s="2">
        <f>IFERROR(__xludf.DUMMYFUNCTION("""COMPUTED_VALUE"""),260.51)</f>
        <v>260.51</v>
      </c>
      <c r="D167" s="2">
        <f>IFERROR(__xludf.DUMMYFUNCTION("""COMPUTED_VALUE"""),250.59)</f>
        <v>250.59</v>
      </c>
      <c r="E167" s="2">
        <f>IFERROR(__xludf.DUMMYFUNCTION("""COMPUTED_VALUE"""),256.9)</f>
        <v>256.9</v>
      </c>
      <c r="F167" s="2">
        <f>IFERROR(__xludf.DUMMYFUNCTION("""COMPUTED_VALUE"""),1.21988437E8)</f>
        <v>121988437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IFERROR(__xludf.DUMMYFUNCTION("""COMPUTED_VALUE"""),255.98)</f>
        <v>255.98</v>
      </c>
      <c r="C168" s="2">
        <f>IFERROR(__xludf.DUMMYFUNCTION("""COMPUTED_VALUE"""),261.18)</f>
        <v>261.18</v>
      </c>
      <c r="D168" s="2">
        <f>IFERROR(__xludf.DUMMYFUNCTION("""COMPUTED_VALUE"""),255.05)</f>
        <v>255.05</v>
      </c>
      <c r="E168" s="2">
        <f>IFERROR(__xludf.DUMMYFUNCTION("""COMPUTED_VALUE"""),258.08)</f>
        <v>258.08</v>
      </c>
      <c r="F168" s="2">
        <f>IFERROR(__xludf.DUMMYFUNCTION("""COMPUTED_VALUE"""),1.08861698E8)</f>
        <v>108861698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IFERROR(__xludf.DUMMYFUNCTION("""COMPUTED_VALUE"""),257.26)</f>
        <v>257.26</v>
      </c>
      <c r="C169" s="2">
        <f>IFERROR(__xludf.DUMMYFUNCTION("""COMPUTED_VALUE"""),259.08)</f>
        <v>259.08</v>
      </c>
      <c r="D169" s="2">
        <f>IFERROR(__xludf.DUMMYFUNCTION("""COMPUTED_VALUE"""),242.01)</f>
        <v>242.01</v>
      </c>
      <c r="E169" s="2">
        <f>IFERROR(__xludf.DUMMYFUNCTION("""COMPUTED_VALUE"""),245.01)</f>
        <v>245.01</v>
      </c>
      <c r="F169" s="2">
        <f>IFERROR(__xludf.DUMMYFUNCTION("""COMPUTED_VALUE"""),1.3254164E8)</f>
        <v>132541640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IFERROR(__xludf.DUMMYFUNCTION("""COMPUTED_VALUE"""),245.0)</f>
        <v>245</v>
      </c>
      <c r="C170" s="2">
        <f>IFERROR(__xludf.DUMMYFUNCTION("""COMPUTED_VALUE"""),258.0)</f>
        <v>258</v>
      </c>
      <c r="D170" s="2">
        <f>IFERROR(__xludf.DUMMYFUNCTION("""COMPUTED_VALUE"""),244.86)</f>
        <v>244.86</v>
      </c>
      <c r="E170" s="2">
        <f>IFERROR(__xludf.DUMMYFUNCTION("""COMPUTED_VALUE"""),256.49)</f>
        <v>256.49</v>
      </c>
      <c r="F170" s="2">
        <f>IFERROR(__xludf.DUMMYFUNCTION("""COMPUTED_VALUE"""),1.29469565E8)</f>
        <v>129469565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IFERROR(__xludf.DUMMYFUNCTION("""COMPUTED_VALUE"""),255.14)</f>
        <v>255.14</v>
      </c>
      <c r="C171" s="2">
        <f>IFERROR(__xludf.DUMMYFUNCTION("""COMPUTED_VALUE"""),255.39)</f>
        <v>255.39</v>
      </c>
      <c r="D171" s="2">
        <f>IFERROR(__xludf.DUMMYFUNCTION("""COMPUTED_VALUE"""),245.06)</f>
        <v>245.06</v>
      </c>
      <c r="E171" s="2">
        <f>IFERROR(__xludf.DUMMYFUNCTION("""COMPUTED_VALUE"""),251.92)</f>
        <v>251.92</v>
      </c>
      <c r="F171" s="2">
        <f>IFERROR(__xludf.DUMMYFUNCTION("""COMPUTED_VALUE"""),1.16959759E8)</f>
        <v>116959759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IFERROR(__xludf.DUMMYFUNCTION("""COMPUTED_VALUE"""),245.07)</f>
        <v>245.07</v>
      </c>
      <c r="C172" s="2">
        <f>IFERROR(__xludf.DUMMYFUNCTION("""COMPUTED_VALUE"""),252.81)</f>
        <v>252.81</v>
      </c>
      <c r="D172" s="2">
        <f>IFERROR(__xludf.DUMMYFUNCTION("""COMPUTED_VALUE"""),243.27)</f>
        <v>243.27</v>
      </c>
      <c r="E172" s="2">
        <f>IFERROR(__xludf.DUMMYFUNCTION("""COMPUTED_VALUE"""),251.49)</f>
        <v>251.49</v>
      </c>
      <c r="F172" s="2">
        <f>IFERROR(__xludf.DUMMYFUNCTION("""COMPUTED_VALUE"""),1.15312886E8)</f>
        <v>115312886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IFERROR(__xludf.DUMMYFUNCTION("""COMPUTED_VALUE"""),251.22)</f>
        <v>251.22</v>
      </c>
      <c r="C173" s="2">
        <f>IFERROR(__xludf.DUMMYFUNCTION("""COMPUTED_VALUE"""),256.52)</f>
        <v>256.52</v>
      </c>
      <c r="D173" s="2">
        <f>IFERROR(__xludf.DUMMYFUNCTION("""COMPUTED_VALUE"""),246.67)</f>
        <v>246.67</v>
      </c>
      <c r="E173" s="2">
        <f>IFERROR(__xludf.DUMMYFUNCTION("""COMPUTED_VALUE"""),248.5)</f>
        <v>248.5</v>
      </c>
      <c r="F173" s="2">
        <f>IFERROR(__xludf.DUMMYFUNCTION("""COMPUTED_VALUE"""),1.18559635E8)</f>
        <v>118559635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IFERROR(__xludf.DUMMYFUNCTION("""COMPUTED_VALUE"""),264.27)</f>
        <v>264.27</v>
      </c>
      <c r="C174" s="2">
        <f>IFERROR(__xludf.DUMMYFUNCTION("""COMPUTED_VALUE"""),274.85)</f>
        <v>274.85</v>
      </c>
      <c r="D174" s="2">
        <f>IFERROR(__xludf.DUMMYFUNCTION("""COMPUTED_VALUE"""),260.61)</f>
        <v>260.61</v>
      </c>
      <c r="E174" s="2">
        <f>IFERROR(__xludf.DUMMYFUNCTION("""COMPUTED_VALUE"""),273.58)</f>
        <v>273.58</v>
      </c>
      <c r="F174" s="2">
        <f>IFERROR(__xludf.DUMMYFUNCTION("""COMPUTED_VALUE"""),1.74667852E8)</f>
        <v>174667852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IFERROR(__xludf.DUMMYFUNCTION("""COMPUTED_VALUE"""),270.76)</f>
        <v>270.76</v>
      </c>
      <c r="C175" s="2">
        <f>IFERROR(__xludf.DUMMYFUNCTION("""COMPUTED_VALUE"""),278.39)</f>
        <v>278.39</v>
      </c>
      <c r="D175" s="2">
        <f>IFERROR(__xludf.DUMMYFUNCTION("""COMPUTED_VALUE"""),266.6)</f>
        <v>266.6</v>
      </c>
      <c r="E175" s="2">
        <f>IFERROR(__xludf.DUMMYFUNCTION("""COMPUTED_VALUE"""),267.48)</f>
        <v>267.48</v>
      </c>
      <c r="F175" s="2">
        <f>IFERROR(__xludf.DUMMYFUNCTION("""COMPUTED_VALUE"""),1.35999866E8)</f>
        <v>135999866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IFERROR(__xludf.DUMMYFUNCTION("""COMPUTED_VALUE"""),270.07)</f>
        <v>270.07</v>
      </c>
      <c r="C176" s="2">
        <f>IFERROR(__xludf.DUMMYFUNCTION("""COMPUTED_VALUE"""),274.98)</f>
        <v>274.98</v>
      </c>
      <c r="D176" s="2">
        <f>IFERROR(__xludf.DUMMYFUNCTION("""COMPUTED_VALUE"""),268.1)</f>
        <v>268.1</v>
      </c>
      <c r="E176" s="2">
        <f>IFERROR(__xludf.DUMMYFUNCTION("""COMPUTED_VALUE"""),271.3)</f>
        <v>271.3</v>
      </c>
      <c r="F176" s="2">
        <f>IFERROR(__xludf.DUMMYFUNCTION("""COMPUTED_VALUE"""),1.11673737E8)</f>
        <v>111673737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IFERROR(__xludf.DUMMYFUNCTION("""COMPUTED_VALUE"""),271.32)</f>
        <v>271.32</v>
      </c>
      <c r="C177" s="2">
        <f>IFERROR(__xludf.DUMMYFUNCTION("""COMPUTED_VALUE"""),276.71)</f>
        <v>276.71</v>
      </c>
      <c r="D177" s="2">
        <f>IFERROR(__xludf.DUMMYFUNCTION("""COMPUTED_VALUE"""),270.42)</f>
        <v>270.42</v>
      </c>
      <c r="E177" s="2">
        <f>IFERROR(__xludf.DUMMYFUNCTION("""COMPUTED_VALUE"""),276.04)</f>
        <v>276.04</v>
      </c>
      <c r="F177" s="2">
        <f>IFERROR(__xludf.DUMMYFUNCTION("""COMPUTED_VALUE"""),1.07709842E8)</f>
        <v>107709842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IFERROR(__xludf.DUMMYFUNCTION("""COMPUTED_VALUE"""),277.55)</f>
        <v>277.55</v>
      </c>
      <c r="C178" s="2">
        <f>IFERROR(__xludf.DUMMYFUNCTION("""COMPUTED_VALUE"""),278.98)</f>
        <v>278.98</v>
      </c>
      <c r="D178" s="2">
        <f>IFERROR(__xludf.DUMMYFUNCTION("""COMPUTED_VALUE"""),271.0)</f>
        <v>271</v>
      </c>
      <c r="E178" s="2">
        <f>IFERROR(__xludf.DUMMYFUNCTION("""COMPUTED_VALUE"""),274.39)</f>
        <v>274.39</v>
      </c>
      <c r="F178" s="2">
        <f>IFERROR(__xludf.DUMMYFUNCTION("""COMPUTED_VALUE"""),1.33692313E8)</f>
        <v>133692313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IFERROR(__xludf.DUMMYFUNCTION("""COMPUTED_VALUE"""),271.16)</f>
        <v>271.16</v>
      </c>
      <c r="C179" s="2">
        <f>IFERROR(__xludf.DUMMYFUNCTION("""COMPUTED_VALUE"""),271.44)</f>
        <v>271.44</v>
      </c>
      <c r="D179" s="2">
        <f>IFERROR(__xludf.DUMMYFUNCTION("""COMPUTED_VALUE"""),263.76)</f>
        <v>263.76</v>
      </c>
      <c r="E179" s="2">
        <f>IFERROR(__xludf.DUMMYFUNCTION("""COMPUTED_VALUE"""),265.28)</f>
        <v>265.28</v>
      </c>
      <c r="F179" s="2">
        <f>IFERROR(__xludf.DUMMYFUNCTION("""COMPUTED_VALUE"""),1.01543305E8)</f>
        <v>101543305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IFERROR(__xludf.DUMMYFUNCTION("""COMPUTED_VALUE"""),264.35)</f>
        <v>264.35</v>
      </c>
      <c r="C180" s="2">
        <f>IFERROR(__xludf.DUMMYFUNCTION("""COMPUTED_VALUE"""),267.85)</f>
        <v>267.85</v>
      </c>
      <c r="D180" s="2">
        <f>IFERROR(__xludf.DUMMYFUNCTION("""COMPUTED_VALUE"""),261.2)</f>
        <v>261.2</v>
      </c>
      <c r="E180" s="2">
        <f>IFERROR(__xludf.DUMMYFUNCTION("""COMPUTED_VALUE"""),266.5)</f>
        <v>266.5</v>
      </c>
      <c r="F180" s="2">
        <f>IFERROR(__xludf.DUMMYFUNCTION("""COMPUTED_VALUE"""),1.0370404E8)</f>
        <v>103704040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IFERROR(__xludf.DUMMYFUNCTION("""COMPUTED_VALUE"""),267.04)</f>
        <v>267.04</v>
      </c>
      <c r="C181" s="2">
        <f>IFERROR(__xludf.DUMMYFUNCTION("""COMPUTED_VALUE"""),273.93)</f>
        <v>273.93</v>
      </c>
      <c r="D181" s="2">
        <f>IFERROR(__xludf.DUMMYFUNCTION("""COMPUTED_VALUE"""),262.46)</f>
        <v>262.46</v>
      </c>
      <c r="E181" s="2">
        <f>IFERROR(__xludf.DUMMYFUNCTION("""COMPUTED_VALUE"""),262.59)</f>
        <v>262.59</v>
      </c>
      <c r="F181" s="2">
        <f>IFERROR(__xludf.DUMMYFUNCTION("""COMPUTED_VALUE"""),1.22514643E8)</f>
        <v>122514643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IFERROR(__xludf.DUMMYFUNCTION("""COMPUTED_VALUE"""),257.85)</f>
        <v>257.85</v>
      </c>
      <c r="C182" s="2">
        <f>IFERROR(__xludf.DUMMYFUNCTION("""COMPUTED_VALUE"""),260.86)</f>
        <v>260.86</v>
      </c>
      <c r="D182" s="2">
        <f>IFERROR(__xludf.DUMMYFUNCTION("""COMPUTED_VALUE"""),254.21)</f>
        <v>254.21</v>
      </c>
      <c r="E182" s="2">
        <f>IFERROR(__xludf.DUMMYFUNCTION("""COMPUTED_VALUE"""),255.7)</f>
        <v>255.7</v>
      </c>
      <c r="F182" s="2">
        <f>IFERROR(__xludf.DUMMYFUNCTION("""COMPUTED_VALUE"""),1.19951516E8)</f>
        <v>119951516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IFERROR(__xludf.DUMMYFUNCTION("""COMPUTED_VALUE"""),257.4)</f>
        <v>257.4</v>
      </c>
      <c r="C183" s="2">
        <f>IFERROR(__xludf.DUMMYFUNCTION("""COMPUTED_VALUE"""),257.79)</f>
        <v>257.79</v>
      </c>
      <c r="D183" s="2">
        <f>IFERROR(__xludf.DUMMYFUNCTION("""COMPUTED_VALUE"""),244.48)</f>
        <v>244.48</v>
      </c>
      <c r="E183" s="2">
        <f>IFERROR(__xludf.DUMMYFUNCTION("""COMPUTED_VALUE"""),244.88)</f>
        <v>244.88</v>
      </c>
      <c r="F183" s="2">
        <f>IFERROR(__xludf.DUMMYFUNCTION("""COMPUTED_VALUE"""),1.27524083E8)</f>
        <v>127524083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IFERROR(__xludf.DUMMYFUNCTION("""COMPUTED_VALUE"""),243.38)</f>
        <v>243.38</v>
      </c>
      <c r="C184" s="2">
        <f>IFERROR(__xludf.DUMMYFUNCTION("""COMPUTED_VALUE"""),247.1)</f>
        <v>247.1</v>
      </c>
      <c r="D184" s="2">
        <f>IFERROR(__xludf.DUMMYFUNCTION("""COMPUTED_VALUE"""),238.31)</f>
        <v>238.31</v>
      </c>
      <c r="E184" s="2">
        <f>IFERROR(__xludf.DUMMYFUNCTION("""COMPUTED_VALUE"""),246.99)</f>
        <v>246.99</v>
      </c>
      <c r="F184" s="2">
        <f>IFERROR(__xludf.DUMMYFUNCTION("""COMPUTED_VALUE"""),1.04636557E8)</f>
        <v>104636557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IFERROR(__xludf.DUMMYFUNCTION("""COMPUTED_VALUE"""),242.98)</f>
        <v>242.98</v>
      </c>
      <c r="C185" s="2">
        <f>IFERROR(__xludf.DUMMYFUNCTION("""COMPUTED_VALUE"""),249.55)</f>
        <v>249.55</v>
      </c>
      <c r="D185" s="2">
        <f>IFERROR(__xludf.DUMMYFUNCTION("""COMPUTED_VALUE"""),241.66)</f>
        <v>241.66</v>
      </c>
      <c r="E185" s="2">
        <f>IFERROR(__xludf.DUMMYFUNCTION("""COMPUTED_VALUE"""),244.12)</f>
        <v>244.12</v>
      </c>
      <c r="F185" s="2">
        <f>IFERROR(__xludf.DUMMYFUNCTION("""COMPUTED_VALUE"""),1.01993631E8)</f>
        <v>101993631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IFERROR(__xludf.DUMMYFUNCTION("""COMPUTED_VALUE"""),244.26)</f>
        <v>244.26</v>
      </c>
      <c r="C186" s="2">
        <f>IFERROR(__xludf.DUMMYFUNCTION("""COMPUTED_VALUE"""),245.33)</f>
        <v>245.33</v>
      </c>
      <c r="D186" s="2">
        <f>IFERROR(__xludf.DUMMYFUNCTION("""COMPUTED_VALUE"""),234.58)</f>
        <v>234.58</v>
      </c>
      <c r="E186" s="2">
        <f>IFERROR(__xludf.DUMMYFUNCTION("""COMPUTED_VALUE"""),240.5)</f>
        <v>240.5</v>
      </c>
      <c r="F186" s="2">
        <f>IFERROR(__xludf.DUMMYFUNCTION("""COMPUTED_VALUE"""),1.36597184E8)</f>
        <v>136597184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IFERROR(__xludf.DUMMYFUNCTION("""COMPUTED_VALUE"""),240.02)</f>
        <v>240.02</v>
      </c>
      <c r="C187" s="2">
        <f>IFERROR(__xludf.DUMMYFUNCTION("""COMPUTED_VALUE"""),247.55)</f>
        <v>247.55</v>
      </c>
      <c r="D187" s="2">
        <f>IFERROR(__xludf.DUMMYFUNCTION("""COMPUTED_VALUE"""),238.65)</f>
        <v>238.65</v>
      </c>
      <c r="E187" s="2">
        <f>IFERROR(__xludf.DUMMYFUNCTION("""COMPUTED_VALUE"""),246.38)</f>
        <v>246.38</v>
      </c>
      <c r="F187" s="2">
        <f>IFERROR(__xludf.DUMMYFUNCTION("""COMPUTED_VALUE"""),1.1705887E8)</f>
        <v>117058870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IFERROR(__xludf.DUMMYFUNCTION("""COMPUTED_VALUE"""),250.0)</f>
        <v>250</v>
      </c>
      <c r="C188" s="2">
        <f>IFERROR(__xludf.DUMMYFUNCTION("""COMPUTED_VALUE"""),254.77)</f>
        <v>254.77</v>
      </c>
      <c r="D188" s="2">
        <f>IFERROR(__xludf.DUMMYFUNCTION("""COMPUTED_VALUE"""),246.35)</f>
        <v>246.35</v>
      </c>
      <c r="E188" s="2">
        <f>IFERROR(__xludf.DUMMYFUNCTION("""COMPUTED_VALUE"""),250.22)</f>
        <v>250.22</v>
      </c>
      <c r="F188" s="2">
        <f>IFERROR(__xludf.DUMMYFUNCTION("""COMPUTED_VALUE"""),1.28522729E8)</f>
        <v>128522729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IFERROR(__xludf.DUMMYFUNCTION("""COMPUTED_VALUE"""),244.81)</f>
        <v>244.81</v>
      </c>
      <c r="C189" s="2">
        <f>IFERROR(__xludf.DUMMYFUNCTION("""COMPUTED_VALUE"""),254.28)</f>
        <v>254.28</v>
      </c>
      <c r="D189" s="2">
        <f>IFERROR(__xludf.DUMMYFUNCTION("""COMPUTED_VALUE"""),242.62)</f>
        <v>242.62</v>
      </c>
      <c r="E189" s="2">
        <f>IFERROR(__xludf.DUMMYFUNCTION("""COMPUTED_VALUE"""),251.6)</f>
        <v>251.6</v>
      </c>
      <c r="F189" s="2">
        <f>IFERROR(__xludf.DUMMYFUNCTION("""COMPUTED_VALUE"""),1.23810402E8)</f>
        <v>123810402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IFERROR(__xludf.DUMMYFUNCTION("""COMPUTED_VALUE"""),248.61)</f>
        <v>248.61</v>
      </c>
      <c r="C190" s="2">
        <f>IFERROR(__xludf.DUMMYFUNCTION("""COMPUTED_VALUE"""),250.02)</f>
        <v>250.02</v>
      </c>
      <c r="D190" s="2">
        <f>IFERROR(__xludf.DUMMYFUNCTION("""COMPUTED_VALUE"""),244.45)</f>
        <v>244.45</v>
      </c>
      <c r="E190" s="2">
        <f>IFERROR(__xludf.DUMMYFUNCTION("""COMPUTED_VALUE"""),246.53)</f>
        <v>246.53</v>
      </c>
      <c r="F190" s="2">
        <f>IFERROR(__xludf.DUMMYFUNCTION("""COMPUTED_VALUE"""),1.01985305E8)</f>
        <v>101985305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IFERROR(__xludf.DUMMYFUNCTION("""COMPUTED_VALUE"""),248.14)</f>
        <v>248.14</v>
      </c>
      <c r="C191" s="2">
        <f>IFERROR(__xludf.DUMMYFUNCTION("""COMPUTED_VALUE"""),261.86)</f>
        <v>261.86</v>
      </c>
      <c r="D191" s="2">
        <f>IFERROR(__xludf.DUMMYFUNCTION("""COMPUTED_VALUE"""),247.6)</f>
        <v>247.6</v>
      </c>
      <c r="E191" s="2">
        <f>IFERROR(__xludf.DUMMYFUNCTION("""COMPUTED_VALUE"""),261.16)</f>
        <v>261.16</v>
      </c>
      <c r="F191" s="2">
        <f>IFERROR(__xludf.DUMMYFUNCTION("""COMPUTED_VALUE"""),1.29721567E8)</f>
        <v>129721567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IFERROR(__xludf.DUMMYFUNCTION("""COMPUTED_VALUE"""),260.0)</f>
        <v>260</v>
      </c>
      <c r="C192" s="2">
        <f>IFERROR(__xludf.DUMMYFUNCTION("""COMPUTED_VALUE"""),263.6)</f>
        <v>263.6</v>
      </c>
      <c r="D192" s="2">
        <f>IFERROR(__xludf.DUMMYFUNCTION("""COMPUTED_VALUE"""),256.25)</f>
        <v>256.25</v>
      </c>
      <c r="E192" s="2">
        <f>IFERROR(__xludf.DUMMYFUNCTION("""COMPUTED_VALUE"""),260.05)</f>
        <v>260.05</v>
      </c>
      <c r="F192" s="2">
        <f>IFERROR(__xludf.DUMMYFUNCTION("""COMPUTED_VALUE"""),1.19159214E8)</f>
        <v>119159214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IFERROR(__xludf.DUMMYFUNCTION("""COMPUTED_VALUE"""),253.98)</f>
        <v>253.98</v>
      </c>
      <c r="C193" s="2">
        <f>IFERROR(__xludf.DUMMYFUNCTION("""COMPUTED_VALUE"""),261.65)</f>
        <v>261.65</v>
      </c>
      <c r="D193" s="2">
        <f>IFERROR(__xludf.DUMMYFUNCTION("""COMPUTED_VALUE"""),250.65)</f>
        <v>250.65</v>
      </c>
      <c r="E193" s="2">
        <f>IFERROR(__xludf.DUMMYFUNCTION("""COMPUTED_VALUE"""),260.53)</f>
        <v>260.53</v>
      </c>
      <c r="F193" s="2">
        <f>IFERROR(__xludf.DUMMYFUNCTION("""COMPUTED_VALUE"""),1.18121812E8)</f>
        <v>118121812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IFERROR(__xludf.DUMMYFUNCTION("""COMPUTED_VALUE"""),255.31)</f>
        <v>255.31</v>
      </c>
      <c r="C194" s="2">
        <f>IFERROR(__xludf.DUMMYFUNCTION("""COMPUTED_VALUE"""),261.36)</f>
        <v>261.36</v>
      </c>
      <c r="D194" s="2">
        <f>IFERROR(__xludf.DUMMYFUNCTION("""COMPUTED_VALUE"""),252.05)</f>
        <v>252.05</v>
      </c>
      <c r="E194" s="2">
        <f>IFERROR(__xludf.DUMMYFUNCTION("""COMPUTED_VALUE"""),259.67)</f>
        <v>259.67</v>
      </c>
      <c r="F194" s="2">
        <f>IFERROR(__xludf.DUMMYFUNCTION("""COMPUTED_VALUE"""),1.01377947E8)</f>
        <v>101377947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IFERROR(__xludf.DUMMYFUNCTION("""COMPUTED_VALUE"""),257.75)</f>
        <v>257.75</v>
      </c>
      <c r="C195" s="2">
        <f>IFERROR(__xludf.DUMMYFUNCTION("""COMPUTED_VALUE"""),268.94)</f>
        <v>268.94</v>
      </c>
      <c r="D195" s="2">
        <f>IFERROR(__xludf.DUMMYFUNCTION("""COMPUTED_VALUE"""),257.65)</f>
        <v>257.65</v>
      </c>
      <c r="E195" s="2">
        <f>IFERROR(__xludf.DUMMYFUNCTION("""COMPUTED_VALUE"""),263.62)</f>
        <v>263.62</v>
      </c>
      <c r="F195" s="2">
        <f>IFERROR(__xludf.DUMMYFUNCTION("""COMPUTED_VALUE"""),1.2265603E8)</f>
        <v>122656030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IFERROR(__xludf.DUMMYFUNCTION("""COMPUTED_VALUE"""),266.2)</f>
        <v>266.2</v>
      </c>
      <c r="C196" s="2">
        <f>IFERROR(__xludf.DUMMYFUNCTION("""COMPUTED_VALUE"""),268.6)</f>
        <v>268.6</v>
      </c>
      <c r="D196" s="2">
        <f>IFERROR(__xludf.DUMMYFUNCTION("""COMPUTED_VALUE"""),260.9)</f>
        <v>260.9</v>
      </c>
      <c r="E196" s="2">
        <f>IFERROR(__xludf.DUMMYFUNCTION("""COMPUTED_VALUE"""),262.99)</f>
        <v>262.99</v>
      </c>
      <c r="F196" s="2">
        <f>IFERROR(__xludf.DUMMYFUNCTION("""COMPUTED_VALUE"""),1.03706266E8)</f>
        <v>103706266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IFERROR(__xludf.DUMMYFUNCTION("""COMPUTED_VALUE"""),262.92)</f>
        <v>262.92</v>
      </c>
      <c r="C197" s="2">
        <f>IFERROR(__xludf.DUMMYFUNCTION("""COMPUTED_VALUE"""),265.41)</f>
        <v>265.41</v>
      </c>
      <c r="D197" s="2">
        <f>IFERROR(__xludf.DUMMYFUNCTION("""COMPUTED_VALUE"""),256.63)</f>
        <v>256.63</v>
      </c>
      <c r="E197" s="2">
        <f>IFERROR(__xludf.DUMMYFUNCTION("""COMPUTED_VALUE"""),258.87)</f>
        <v>258.87</v>
      </c>
      <c r="F197" s="2">
        <f>IFERROR(__xludf.DUMMYFUNCTION("""COMPUTED_VALUE"""),1.11508114E8)</f>
        <v>111508114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IFERROR(__xludf.DUMMYFUNCTION("""COMPUTED_VALUE"""),258.9)</f>
        <v>258.9</v>
      </c>
      <c r="C198" s="2">
        <f>IFERROR(__xludf.DUMMYFUNCTION("""COMPUTED_VALUE"""),259.6)</f>
        <v>259.6</v>
      </c>
      <c r="D198" s="2">
        <f>IFERROR(__xludf.DUMMYFUNCTION("""COMPUTED_VALUE"""),250.22)</f>
        <v>250.22</v>
      </c>
      <c r="E198" s="2">
        <f>IFERROR(__xludf.DUMMYFUNCTION("""COMPUTED_VALUE"""),251.12)</f>
        <v>251.12</v>
      </c>
      <c r="F198" s="2">
        <f>IFERROR(__xludf.DUMMYFUNCTION("""COMPUTED_VALUE"""),1.02296786E8)</f>
        <v>102296786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IFERROR(__xludf.DUMMYFUNCTION("""COMPUTED_VALUE"""),250.05)</f>
        <v>250.05</v>
      </c>
      <c r="C199" s="2">
        <f>IFERROR(__xludf.DUMMYFUNCTION("""COMPUTED_VALUE"""),255.4)</f>
        <v>255.4</v>
      </c>
      <c r="D199" s="2">
        <f>IFERROR(__xludf.DUMMYFUNCTION("""COMPUTED_VALUE"""),248.48)</f>
        <v>248.48</v>
      </c>
      <c r="E199" s="2">
        <f>IFERROR(__xludf.DUMMYFUNCTION("""COMPUTED_VALUE"""),253.92)</f>
        <v>253.92</v>
      </c>
      <c r="F199" s="2">
        <f>IFERROR(__xludf.DUMMYFUNCTION("""COMPUTED_VALUE"""),8.8917176E7)</f>
        <v>88917176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IFERROR(__xludf.DUMMYFUNCTION("""COMPUTED_VALUE"""),250.1)</f>
        <v>250.1</v>
      </c>
      <c r="C200" s="2">
        <f>IFERROR(__xludf.DUMMYFUNCTION("""COMPUTED_VALUE"""),257.18)</f>
        <v>257.18</v>
      </c>
      <c r="D200" s="2">
        <f>IFERROR(__xludf.DUMMYFUNCTION("""COMPUTED_VALUE"""),247.08)</f>
        <v>247.08</v>
      </c>
      <c r="E200" s="2">
        <f>IFERROR(__xludf.DUMMYFUNCTION("""COMPUTED_VALUE"""),254.85)</f>
        <v>254.85</v>
      </c>
      <c r="F200" s="2">
        <f>IFERROR(__xludf.DUMMYFUNCTION("""COMPUTED_VALUE"""),9.3562909E7)</f>
        <v>93562909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IFERROR(__xludf.DUMMYFUNCTION("""COMPUTED_VALUE"""),252.7)</f>
        <v>252.7</v>
      </c>
      <c r="C201" s="2">
        <f>IFERROR(__xludf.DUMMYFUNCTION("""COMPUTED_VALUE"""),254.63)</f>
        <v>254.63</v>
      </c>
      <c r="D201" s="2">
        <f>IFERROR(__xludf.DUMMYFUNCTION("""COMPUTED_VALUE"""),242.08)</f>
        <v>242.08</v>
      </c>
      <c r="E201" s="2">
        <f>IFERROR(__xludf.DUMMYFUNCTION("""COMPUTED_VALUE"""),242.68)</f>
        <v>242.68</v>
      </c>
      <c r="F201" s="2">
        <f>IFERROR(__xludf.DUMMYFUNCTION("""COMPUTED_VALUE"""),1.25147846E8)</f>
        <v>125147846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IFERROR(__xludf.DUMMYFUNCTION("""COMPUTED_VALUE"""),225.95)</f>
        <v>225.95</v>
      </c>
      <c r="C202" s="2">
        <f>IFERROR(__xludf.DUMMYFUNCTION("""COMPUTED_VALUE"""),230.61)</f>
        <v>230.61</v>
      </c>
      <c r="D202" s="2">
        <f>IFERROR(__xludf.DUMMYFUNCTION("""COMPUTED_VALUE"""),216.78)</f>
        <v>216.78</v>
      </c>
      <c r="E202" s="2">
        <f>IFERROR(__xludf.DUMMYFUNCTION("""COMPUTED_VALUE"""),220.11)</f>
        <v>220.11</v>
      </c>
      <c r="F202" s="2">
        <f>IFERROR(__xludf.DUMMYFUNCTION("""COMPUTED_VALUE"""),1.70772713E8)</f>
        <v>170772713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IFERROR(__xludf.DUMMYFUNCTION("""COMPUTED_VALUE"""),217.01)</f>
        <v>217.01</v>
      </c>
      <c r="C203" s="2">
        <f>IFERROR(__xludf.DUMMYFUNCTION("""COMPUTED_VALUE"""),218.86)</f>
        <v>218.86</v>
      </c>
      <c r="D203" s="2">
        <f>IFERROR(__xludf.DUMMYFUNCTION("""COMPUTED_VALUE"""),210.42)</f>
        <v>210.42</v>
      </c>
      <c r="E203" s="2">
        <f>IFERROR(__xludf.DUMMYFUNCTION("""COMPUTED_VALUE"""),211.99)</f>
        <v>211.99</v>
      </c>
      <c r="F203" s="2">
        <f>IFERROR(__xludf.DUMMYFUNCTION("""COMPUTED_VALUE"""),1.38010095E8)</f>
        <v>138010095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IFERROR(__xludf.DUMMYFUNCTION("""COMPUTED_VALUE"""),210.0)</f>
        <v>210</v>
      </c>
      <c r="C204" s="2">
        <f>IFERROR(__xludf.DUMMYFUNCTION("""COMPUTED_VALUE"""),216.98)</f>
        <v>216.98</v>
      </c>
      <c r="D204" s="2">
        <f>IFERROR(__xludf.DUMMYFUNCTION("""COMPUTED_VALUE"""),202.51)</f>
        <v>202.51</v>
      </c>
      <c r="E204" s="2">
        <f>IFERROR(__xludf.DUMMYFUNCTION("""COMPUTED_VALUE"""),212.08)</f>
        <v>212.08</v>
      </c>
      <c r="F204" s="2">
        <f>IFERROR(__xludf.DUMMYFUNCTION("""COMPUTED_VALUE"""),1.50683368E8)</f>
        <v>150683368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IFERROR(__xludf.DUMMYFUNCTION("""COMPUTED_VALUE"""),216.5)</f>
        <v>216.5</v>
      </c>
      <c r="C205" s="2">
        <f>IFERROR(__xludf.DUMMYFUNCTION("""COMPUTED_VALUE"""),222.05)</f>
        <v>222.05</v>
      </c>
      <c r="D205" s="2">
        <f>IFERROR(__xludf.DUMMYFUNCTION("""COMPUTED_VALUE"""),214.11)</f>
        <v>214.11</v>
      </c>
      <c r="E205" s="2">
        <f>IFERROR(__xludf.DUMMYFUNCTION("""COMPUTED_VALUE"""),216.52)</f>
        <v>216.52</v>
      </c>
      <c r="F205" s="2">
        <f>IFERROR(__xludf.DUMMYFUNCTION("""COMPUTED_VALUE"""),1.18231113E8)</f>
        <v>118231113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IFERROR(__xludf.DUMMYFUNCTION("""COMPUTED_VALUE"""),215.88)</f>
        <v>215.88</v>
      </c>
      <c r="C206" s="2">
        <f>IFERROR(__xludf.DUMMYFUNCTION("""COMPUTED_VALUE"""),220.1)</f>
        <v>220.1</v>
      </c>
      <c r="D206" s="2">
        <f>IFERROR(__xludf.DUMMYFUNCTION("""COMPUTED_VALUE"""),212.2)</f>
        <v>212.2</v>
      </c>
      <c r="E206" s="2">
        <f>IFERROR(__xludf.DUMMYFUNCTION("""COMPUTED_VALUE"""),212.42)</f>
        <v>212.42</v>
      </c>
      <c r="F206" s="2">
        <f>IFERROR(__xludf.DUMMYFUNCTION("""COMPUTED_VALUE"""),1.07065087E8)</f>
        <v>107065087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IFERROR(__xludf.DUMMYFUNCTION("""COMPUTED_VALUE"""),211.32)</f>
        <v>211.32</v>
      </c>
      <c r="C207" s="2">
        <f>IFERROR(__xludf.DUMMYFUNCTION("""COMPUTED_VALUE"""),214.8)</f>
        <v>214.8</v>
      </c>
      <c r="D207" s="2">
        <f>IFERROR(__xludf.DUMMYFUNCTION("""COMPUTED_VALUE"""),204.88)</f>
        <v>204.88</v>
      </c>
      <c r="E207" s="2">
        <f>IFERROR(__xludf.DUMMYFUNCTION("""COMPUTED_VALUE"""),205.76)</f>
        <v>205.76</v>
      </c>
      <c r="F207" s="2">
        <f>IFERROR(__xludf.DUMMYFUNCTION("""COMPUTED_VALUE"""),1.15112635E8)</f>
        <v>115112635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IFERROR(__xludf.DUMMYFUNCTION("""COMPUTED_VALUE"""),210.6)</f>
        <v>210.6</v>
      </c>
      <c r="C208" s="2">
        <f>IFERROR(__xludf.DUMMYFUNCTION("""COMPUTED_VALUE"""),212.41)</f>
        <v>212.41</v>
      </c>
      <c r="D208" s="2">
        <f>IFERROR(__xludf.DUMMYFUNCTION("""COMPUTED_VALUE"""),205.77)</f>
        <v>205.77</v>
      </c>
      <c r="E208" s="2">
        <f>IFERROR(__xludf.DUMMYFUNCTION("""COMPUTED_VALUE"""),207.3)</f>
        <v>207.3</v>
      </c>
      <c r="F208" s="2">
        <f>IFERROR(__xludf.DUMMYFUNCTION("""COMPUTED_VALUE"""),9.4881173E7)</f>
        <v>94881173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IFERROR(__xludf.DUMMYFUNCTION("""COMPUTED_VALUE"""),209.28)</f>
        <v>209.28</v>
      </c>
      <c r="C209" s="2">
        <f>IFERROR(__xludf.DUMMYFUNCTION("""COMPUTED_VALUE"""),210.88)</f>
        <v>210.88</v>
      </c>
      <c r="D209" s="2">
        <f>IFERROR(__xludf.DUMMYFUNCTION("""COMPUTED_VALUE"""),194.67)</f>
        <v>194.67</v>
      </c>
      <c r="E209" s="2">
        <f>IFERROR(__xludf.DUMMYFUNCTION("""COMPUTED_VALUE"""),197.36)</f>
        <v>197.36</v>
      </c>
      <c r="F209" s="2">
        <f>IFERROR(__xludf.DUMMYFUNCTION("""COMPUTED_VALUE"""),1.36448167E8)</f>
        <v>136448167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IFERROR(__xludf.DUMMYFUNCTION("""COMPUTED_VALUE"""),196.12)</f>
        <v>196.12</v>
      </c>
      <c r="C210" s="2">
        <f>IFERROR(__xludf.DUMMYFUNCTION("""COMPUTED_VALUE"""),202.8)</f>
        <v>202.8</v>
      </c>
      <c r="D210" s="2">
        <f>IFERROR(__xludf.DUMMYFUNCTION("""COMPUTED_VALUE"""),194.07)</f>
        <v>194.07</v>
      </c>
      <c r="E210" s="2">
        <f>IFERROR(__xludf.DUMMYFUNCTION("""COMPUTED_VALUE"""),200.84)</f>
        <v>200.84</v>
      </c>
      <c r="F210" s="2">
        <f>IFERROR(__xludf.DUMMYFUNCTION("""COMPUTED_VALUE"""),1.18068273E8)</f>
        <v>118068273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IFERROR(__xludf.DUMMYFUNCTION("""COMPUTED_VALUE"""),204.04)</f>
        <v>204.04</v>
      </c>
      <c r="C211" s="2">
        <f>IFERROR(__xludf.DUMMYFUNCTION("""COMPUTED_VALUE"""),205.99)</f>
        <v>205.99</v>
      </c>
      <c r="D211" s="2">
        <f>IFERROR(__xludf.DUMMYFUNCTION("""COMPUTED_VALUE"""),197.85)</f>
        <v>197.85</v>
      </c>
      <c r="E211" s="2">
        <f>IFERROR(__xludf.DUMMYFUNCTION("""COMPUTED_VALUE"""),205.66)</f>
        <v>205.66</v>
      </c>
      <c r="F211" s="2">
        <f>IFERROR(__xludf.DUMMYFUNCTION("""COMPUTED_VALUE"""),1.21661656E8)</f>
        <v>121661656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IFERROR(__xludf.DUMMYFUNCTION("""COMPUTED_VALUE"""),212.97)</f>
        <v>212.97</v>
      </c>
      <c r="C212" s="2">
        <f>IFERROR(__xludf.DUMMYFUNCTION("""COMPUTED_VALUE"""),219.2)</f>
        <v>219.2</v>
      </c>
      <c r="D212" s="2">
        <f>IFERROR(__xludf.DUMMYFUNCTION("""COMPUTED_VALUE"""),211.45)</f>
        <v>211.45</v>
      </c>
      <c r="E212" s="2">
        <f>IFERROR(__xludf.DUMMYFUNCTION("""COMPUTED_VALUE"""),218.51)</f>
        <v>218.51</v>
      </c>
      <c r="F212" s="2">
        <f>IFERROR(__xludf.DUMMYFUNCTION("""COMPUTED_VALUE"""),1.25987621E8)</f>
        <v>125987621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IFERROR(__xludf.DUMMYFUNCTION("""COMPUTED_VALUE"""),221.15)</f>
        <v>221.15</v>
      </c>
      <c r="C213" s="2">
        <f>IFERROR(__xludf.DUMMYFUNCTION("""COMPUTED_VALUE"""),226.37)</f>
        <v>226.37</v>
      </c>
      <c r="D213" s="2">
        <f>IFERROR(__xludf.DUMMYFUNCTION("""COMPUTED_VALUE"""),218.4)</f>
        <v>218.4</v>
      </c>
      <c r="E213" s="2">
        <f>IFERROR(__xludf.DUMMYFUNCTION("""COMPUTED_VALUE"""),219.96)</f>
        <v>219.96</v>
      </c>
      <c r="F213" s="2">
        <f>IFERROR(__xludf.DUMMYFUNCTION("""COMPUTED_VALUE"""),1.1953479E8)</f>
        <v>119534790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IFERROR(__xludf.DUMMYFUNCTION("""COMPUTED_VALUE"""),223.98)</f>
        <v>223.98</v>
      </c>
      <c r="C214" s="2">
        <f>IFERROR(__xludf.DUMMYFUNCTION("""COMPUTED_VALUE"""),226.32)</f>
        <v>226.32</v>
      </c>
      <c r="D214" s="2">
        <f>IFERROR(__xludf.DUMMYFUNCTION("""COMPUTED_VALUE"""),215.0)</f>
        <v>215</v>
      </c>
      <c r="E214" s="2">
        <f>IFERROR(__xludf.DUMMYFUNCTION("""COMPUTED_VALUE"""),219.27)</f>
        <v>219.27</v>
      </c>
      <c r="F214" s="2">
        <f>IFERROR(__xludf.DUMMYFUNCTION("""COMPUTED_VALUE"""),1.1733582E8)</f>
        <v>117335820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IFERROR(__xludf.DUMMYFUNCTION("""COMPUTED_VALUE"""),219.98)</f>
        <v>219.98</v>
      </c>
      <c r="C215" s="2">
        <f>IFERROR(__xludf.DUMMYFUNCTION("""COMPUTED_VALUE"""),223.12)</f>
        <v>223.12</v>
      </c>
      <c r="D215" s="2">
        <f>IFERROR(__xludf.DUMMYFUNCTION("""COMPUTED_VALUE"""),215.72)</f>
        <v>215.72</v>
      </c>
      <c r="E215" s="2">
        <f>IFERROR(__xludf.DUMMYFUNCTION("""COMPUTED_VALUE"""),222.18)</f>
        <v>222.18</v>
      </c>
      <c r="F215" s="2">
        <f>IFERROR(__xludf.DUMMYFUNCTION("""COMPUTED_VALUE"""),1.1690013E8)</f>
        <v>116900130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IFERROR(__xludf.DUMMYFUNCTION("""COMPUTED_VALUE"""),223.15)</f>
        <v>223.15</v>
      </c>
      <c r="C216" s="2">
        <f>IFERROR(__xludf.DUMMYFUNCTION("""COMPUTED_VALUE"""),224.15)</f>
        <v>224.15</v>
      </c>
      <c r="D216" s="2">
        <f>IFERROR(__xludf.DUMMYFUNCTION("""COMPUTED_VALUE"""),217.64)</f>
        <v>217.64</v>
      </c>
      <c r="E216" s="2">
        <f>IFERROR(__xludf.DUMMYFUNCTION("""COMPUTED_VALUE"""),222.11)</f>
        <v>222.11</v>
      </c>
      <c r="F216" s="2">
        <f>IFERROR(__xludf.DUMMYFUNCTION("""COMPUTED_VALUE"""),1.06584841E8)</f>
        <v>106584841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IFERROR(__xludf.DUMMYFUNCTION("""COMPUTED_VALUE"""),219.75)</f>
        <v>219.75</v>
      </c>
      <c r="C217" s="2">
        <f>IFERROR(__xludf.DUMMYFUNCTION("""COMPUTED_VALUE"""),220.8)</f>
        <v>220.8</v>
      </c>
      <c r="D217" s="2">
        <f>IFERROR(__xludf.DUMMYFUNCTION("""COMPUTED_VALUE"""),206.68)</f>
        <v>206.68</v>
      </c>
      <c r="E217" s="2">
        <f>IFERROR(__xludf.DUMMYFUNCTION("""COMPUTED_VALUE"""),209.98)</f>
        <v>209.98</v>
      </c>
      <c r="F217" s="2">
        <f>IFERROR(__xludf.DUMMYFUNCTION("""COMPUTED_VALUE"""),1.42110454E8)</f>
        <v>142110454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IFERROR(__xludf.DUMMYFUNCTION("""COMPUTED_VALUE"""),210.03)</f>
        <v>210.03</v>
      </c>
      <c r="C218" s="2">
        <f>IFERROR(__xludf.DUMMYFUNCTION("""COMPUTED_VALUE"""),215.38)</f>
        <v>215.38</v>
      </c>
      <c r="D218" s="2">
        <f>IFERROR(__xludf.DUMMYFUNCTION("""COMPUTED_VALUE"""),205.69)</f>
        <v>205.69</v>
      </c>
      <c r="E218" s="2">
        <f>IFERROR(__xludf.DUMMYFUNCTION("""COMPUTED_VALUE"""),214.65)</f>
        <v>214.65</v>
      </c>
      <c r="F218" s="2">
        <f>IFERROR(__xludf.DUMMYFUNCTION("""COMPUTED_VALUE"""),1.31310128E8)</f>
        <v>131310128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IFERROR(__xludf.DUMMYFUNCTION("""COMPUTED_VALUE"""),215.6)</f>
        <v>215.6</v>
      </c>
      <c r="C219" s="2">
        <f>IFERROR(__xludf.DUMMYFUNCTION("""COMPUTED_VALUE"""),225.4)</f>
        <v>225.4</v>
      </c>
      <c r="D219" s="2">
        <f>IFERROR(__xludf.DUMMYFUNCTION("""COMPUTED_VALUE"""),211.61)</f>
        <v>211.61</v>
      </c>
      <c r="E219" s="2">
        <f>IFERROR(__xludf.DUMMYFUNCTION("""COMPUTED_VALUE"""),223.71)</f>
        <v>223.71</v>
      </c>
      <c r="F219" s="2">
        <f>IFERROR(__xludf.DUMMYFUNCTION("""COMPUTED_VALUE"""),1.40447569E8)</f>
        <v>140447569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IFERROR(__xludf.DUMMYFUNCTION("""COMPUTED_VALUE"""),235.03)</f>
        <v>235.03</v>
      </c>
      <c r="C220" s="2">
        <f>IFERROR(__xludf.DUMMYFUNCTION("""COMPUTED_VALUE"""),238.14)</f>
        <v>238.14</v>
      </c>
      <c r="D220" s="2">
        <f>IFERROR(__xludf.DUMMYFUNCTION("""COMPUTED_VALUE"""),230.72)</f>
        <v>230.72</v>
      </c>
      <c r="E220" s="2">
        <f>IFERROR(__xludf.DUMMYFUNCTION("""COMPUTED_VALUE"""),237.41)</f>
        <v>237.41</v>
      </c>
      <c r="F220" s="2">
        <f>IFERROR(__xludf.DUMMYFUNCTION("""COMPUTED_VALUE"""),1.49771642E8)</f>
        <v>149771642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IFERROR(__xludf.DUMMYFUNCTION("""COMPUTED_VALUE"""),239.29)</f>
        <v>239.29</v>
      </c>
      <c r="C221" s="2">
        <f>IFERROR(__xludf.DUMMYFUNCTION("""COMPUTED_VALUE"""),246.7)</f>
        <v>246.7</v>
      </c>
      <c r="D221" s="2">
        <f>IFERROR(__xludf.DUMMYFUNCTION("""COMPUTED_VALUE"""),236.45)</f>
        <v>236.45</v>
      </c>
      <c r="E221" s="2">
        <f>IFERROR(__xludf.DUMMYFUNCTION("""COMPUTED_VALUE"""),242.84)</f>
        <v>242.84</v>
      </c>
      <c r="F221" s="2">
        <f>IFERROR(__xludf.DUMMYFUNCTION("""COMPUTED_VALUE"""),1.50353975E8)</f>
        <v>150353975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IFERROR(__xludf.DUMMYFUNCTION("""COMPUTED_VALUE"""),239.49)</f>
        <v>239.49</v>
      </c>
      <c r="C222" s="2">
        <f>IFERROR(__xludf.DUMMYFUNCTION("""COMPUTED_VALUE"""),240.88)</f>
        <v>240.88</v>
      </c>
      <c r="D222" s="2">
        <f>IFERROR(__xludf.DUMMYFUNCTION("""COMPUTED_VALUE"""),230.96)</f>
        <v>230.96</v>
      </c>
      <c r="E222" s="2">
        <f>IFERROR(__xludf.DUMMYFUNCTION("""COMPUTED_VALUE"""),233.59)</f>
        <v>233.59</v>
      </c>
      <c r="F222" s="2">
        <f>IFERROR(__xludf.DUMMYFUNCTION("""COMPUTED_VALUE"""),1.36816819E8)</f>
        <v>136816819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IFERROR(__xludf.DUMMYFUNCTION("""COMPUTED_VALUE"""),232.0)</f>
        <v>232</v>
      </c>
      <c r="C223" s="2">
        <f>IFERROR(__xludf.DUMMYFUNCTION("""COMPUTED_VALUE"""),237.39)</f>
        <v>237.39</v>
      </c>
      <c r="D223" s="2">
        <f>IFERROR(__xludf.DUMMYFUNCTION("""COMPUTED_VALUE"""),226.54)</f>
        <v>226.54</v>
      </c>
      <c r="E223" s="2">
        <f>IFERROR(__xludf.DUMMYFUNCTION("""COMPUTED_VALUE"""),234.3)</f>
        <v>234.3</v>
      </c>
      <c r="F223" s="2">
        <f>IFERROR(__xludf.DUMMYFUNCTION("""COMPUTED_VALUE"""),1.42766234E8)</f>
        <v>142766234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IFERROR(__xludf.DUMMYFUNCTION("""COMPUTED_VALUE"""),234.04)</f>
        <v>234.04</v>
      </c>
      <c r="C224" s="2">
        <f>IFERROR(__xludf.DUMMYFUNCTION("""COMPUTED_VALUE"""),237.1)</f>
        <v>237.1</v>
      </c>
      <c r="D224" s="2">
        <f>IFERROR(__xludf.DUMMYFUNCTION("""COMPUTED_VALUE"""),231.02)</f>
        <v>231.02</v>
      </c>
      <c r="E224" s="2">
        <f>IFERROR(__xludf.DUMMYFUNCTION("""COMPUTED_VALUE"""),235.6)</f>
        <v>235.6</v>
      </c>
      <c r="F224" s="2">
        <f>IFERROR(__xludf.DUMMYFUNCTION("""COMPUTED_VALUE"""),1.16562402E8)</f>
        <v>116562402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IFERROR(__xludf.DUMMYFUNCTION("""COMPUTED_VALUE"""),235.04)</f>
        <v>235.04</v>
      </c>
      <c r="C225" s="2">
        <f>IFERROR(__xludf.DUMMYFUNCTION("""COMPUTED_VALUE"""),243.62)</f>
        <v>243.62</v>
      </c>
      <c r="D225" s="2">
        <f>IFERROR(__xludf.DUMMYFUNCTION("""COMPUTED_VALUE"""),233.34)</f>
        <v>233.34</v>
      </c>
      <c r="E225" s="2">
        <f>IFERROR(__xludf.DUMMYFUNCTION("""COMPUTED_VALUE"""),241.2)</f>
        <v>241.2</v>
      </c>
      <c r="F225" s="2">
        <f>IFERROR(__xludf.DUMMYFUNCTION("""COMPUTED_VALUE"""),1.22288E8)</f>
        <v>122288000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IFERROR(__xludf.DUMMYFUNCTION("""COMPUTED_VALUE"""),242.04)</f>
        <v>242.04</v>
      </c>
      <c r="C226" s="2">
        <f>IFERROR(__xludf.DUMMYFUNCTION("""COMPUTED_VALUE"""),244.01)</f>
        <v>244.01</v>
      </c>
      <c r="D226" s="2">
        <f>IFERROR(__xludf.DUMMYFUNCTION("""COMPUTED_VALUE"""),231.4)</f>
        <v>231.4</v>
      </c>
      <c r="E226" s="2">
        <f>IFERROR(__xludf.DUMMYFUNCTION("""COMPUTED_VALUE"""),234.21)</f>
        <v>234.21</v>
      </c>
      <c r="F226" s="2">
        <f>IFERROR(__xludf.DUMMYFUNCTION("""COMPUTED_VALUE"""),1.18117078E8)</f>
        <v>118117078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IFERROR(__xludf.DUMMYFUNCTION("""COMPUTED_VALUE"""),233.75)</f>
        <v>233.75</v>
      </c>
      <c r="C227" s="2">
        <f>IFERROR(__xludf.DUMMYFUNCTION("""COMPUTED_VALUE"""),238.75)</f>
        <v>238.75</v>
      </c>
      <c r="D227" s="2">
        <f>IFERROR(__xludf.DUMMYFUNCTION("""COMPUTED_VALUE"""),232.33)</f>
        <v>232.33</v>
      </c>
      <c r="E227" s="2">
        <f>IFERROR(__xludf.DUMMYFUNCTION("""COMPUTED_VALUE"""),235.45)</f>
        <v>235.45</v>
      </c>
      <c r="F227" s="2">
        <f>IFERROR(__xludf.DUMMYFUNCTION("""COMPUTED_VALUE"""),6.5125203E7)</f>
        <v>65125203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IFERROR(__xludf.DUMMYFUNCTION("""COMPUTED_VALUE"""),236.89)</f>
        <v>236.89</v>
      </c>
      <c r="C228" s="2">
        <f>IFERROR(__xludf.DUMMYFUNCTION("""COMPUTED_VALUE"""),238.33)</f>
        <v>238.33</v>
      </c>
      <c r="D228" s="2">
        <f>IFERROR(__xludf.DUMMYFUNCTION("""COMPUTED_VALUE"""),232.1)</f>
        <v>232.1</v>
      </c>
      <c r="E228" s="2">
        <f>IFERROR(__xludf.DUMMYFUNCTION("""COMPUTED_VALUE"""),236.08)</f>
        <v>236.08</v>
      </c>
      <c r="F228" s="2">
        <f>IFERROR(__xludf.DUMMYFUNCTION("""COMPUTED_VALUE"""),1.12031763E8)</f>
        <v>112031763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IFERROR(__xludf.DUMMYFUNCTION("""COMPUTED_VALUE"""),236.68)</f>
        <v>236.68</v>
      </c>
      <c r="C229" s="2">
        <f>IFERROR(__xludf.DUMMYFUNCTION("""COMPUTED_VALUE"""),247.0)</f>
        <v>247</v>
      </c>
      <c r="D229" s="2">
        <f>IFERROR(__xludf.DUMMYFUNCTION("""COMPUTED_VALUE"""),234.01)</f>
        <v>234.01</v>
      </c>
      <c r="E229" s="2">
        <f>IFERROR(__xludf.DUMMYFUNCTION("""COMPUTED_VALUE"""),246.72)</f>
        <v>246.72</v>
      </c>
      <c r="F229" s="2">
        <f>IFERROR(__xludf.DUMMYFUNCTION("""COMPUTED_VALUE"""),1.48549913E8)</f>
        <v>148549913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IFERROR(__xludf.DUMMYFUNCTION("""COMPUTED_VALUE"""),249.21)</f>
        <v>249.21</v>
      </c>
      <c r="C230" s="2">
        <f>IFERROR(__xludf.DUMMYFUNCTION("""COMPUTED_VALUE"""),252.75)</f>
        <v>252.75</v>
      </c>
      <c r="D230" s="2">
        <f>IFERROR(__xludf.DUMMYFUNCTION("""COMPUTED_VALUE"""),242.76)</f>
        <v>242.76</v>
      </c>
      <c r="E230" s="2">
        <f>IFERROR(__xludf.DUMMYFUNCTION("""COMPUTED_VALUE"""),244.14)</f>
        <v>244.14</v>
      </c>
      <c r="F230" s="2">
        <f>IFERROR(__xludf.DUMMYFUNCTION("""COMPUTED_VALUE"""),1.35401335E8)</f>
        <v>135401335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IFERROR(__xludf.DUMMYFUNCTION("""COMPUTED_VALUE"""),245.14)</f>
        <v>245.14</v>
      </c>
      <c r="C231" s="2">
        <f>IFERROR(__xludf.DUMMYFUNCTION("""COMPUTED_VALUE"""),245.22)</f>
        <v>245.22</v>
      </c>
      <c r="D231" s="2">
        <f>IFERROR(__xludf.DUMMYFUNCTION("""COMPUTED_VALUE"""),236.91)</f>
        <v>236.91</v>
      </c>
      <c r="E231" s="2">
        <f>IFERROR(__xludf.DUMMYFUNCTION("""COMPUTED_VALUE"""),240.08)</f>
        <v>240.08</v>
      </c>
      <c r="F231" s="2">
        <f>IFERROR(__xludf.DUMMYFUNCTION("""COMPUTED_VALUE"""),1.32353196E8)</f>
        <v>132353196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IFERROR(__xludf.DUMMYFUNCTION("""COMPUTED_VALUE"""),233.14)</f>
        <v>233.14</v>
      </c>
      <c r="C232" s="2">
        <f>IFERROR(__xludf.DUMMYFUNCTION("""COMPUTED_VALUE"""),240.19)</f>
        <v>240.19</v>
      </c>
      <c r="D232" s="2">
        <f>IFERROR(__xludf.DUMMYFUNCTION("""COMPUTED_VALUE"""),231.9)</f>
        <v>231.9</v>
      </c>
      <c r="E232" s="2">
        <f>IFERROR(__xludf.DUMMYFUNCTION("""COMPUTED_VALUE"""),238.83)</f>
        <v>238.83</v>
      </c>
      <c r="F232" s="2">
        <f>IFERROR(__xludf.DUMMYFUNCTION("""COMPUTED_VALUE"""),1.21331709E8)</f>
        <v>121331709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IFERROR(__xludf.DUMMYFUNCTION("""COMPUTED_VALUE"""),235.75)</f>
        <v>235.75</v>
      </c>
      <c r="C233" s="2">
        <f>IFERROR(__xludf.DUMMYFUNCTION("""COMPUTED_VALUE"""),239.37)</f>
        <v>239.37</v>
      </c>
      <c r="D233" s="2">
        <f>IFERROR(__xludf.DUMMYFUNCTION("""COMPUTED_VALUE"""),233.29)</f>
        <v>233.29</v>
      </c>
      <c r="E233" s="2">
        <f>IFERROR(__xludf.DUMMYFUNCTION("""COMPUTED_VALUE"""),235.58)</f>
        <v>235.58</v>
      </c>
      <c r="F233" s="2">
        <f>IFERROR(__xludf.DUMMYFUNCTION("""COMPUTED_VALUE"""),1.04099817E8)</f>
        <v>104099817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IFERROR(__xludf.DUMMYFUNCTION("""COMPUTED_VALUE"""),233.87)</f>
        <v>233.87</v>
      </c>
      <c r="C234" s="2">
        <f>IFERROR(__xludf.DUMMYFUNCTION("""COMPUTED_VALUE"""),246.66)</f>
        <v>246.66</v>
      </c>
      <c r="D234" s="2">
        <f>IFERROR(__xludf.DUMMYFUNCTION("""COMPUTED_VALUE"""),233.7)</f>
        <v>233.7</v>
      </c>
      <c r="E234" s="2">
        <f>IFERROR(__xludf.DUMMYFUNCTION("""COMPUTED_VALUE"""),238.72)</f>
        <v>238.72</v>
      </c>
      <c r="F234" s="2">
        <f>IFERROR(__xludf.DUMMYFUNCTION("""COMPUTED_VALUE"""),1.37971115E8)</f>
        <v>137971115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IFERROR(__xludf.DUMMYFUNCTION("""COMPUTED_VALUE"""),242.92)</f>
        <v>242.92</v>
      </c>
      <c r="C235" s="2">
        <f>IFERROR(__xludf.DUMMYFUNCTION("""COMPUTED_VALUE"""),246.57)</f>
        <v>246.57</v>
      </c>
      <c r="D235" s="2">
        <f>IFERROR(__xludf.DUMMYFUNCTION("""COMPUTED_VALUE"""),239.17)</f>
        <v>239.17</v>
      </c>
      <c r="E235" s="2">
        <f>IFERROR(__xludf.DUMMYFUNCTION("""COMPUTED_VALUE"""),239.37)</f>
        <v>239.37</v>
      </c>
      <c r="F235" s="2">
        <f>IFERROR(__xludf.DUMMYFUNCTION("""COMPUTED_VALUE"""),1.26436179E8)</f>
        <v>126436179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IFERROR(__xludf.DUMMYFUNCTION("""COMPUTED_VALUE"""),241.55)</f>
        <v>241.55</v>
      </c>
      <c r="C236" s="2">
        <f>IFERROR(__xludf.DUMMYFUNCTION("""COMPUTED_VALUE"""),244.08)</f>
        <v>244.08</v>
      </c>
      <c r="D236" s="2">
        <f>IFERROR(__xludf.DUMMYFUNCTION("""COMPUTED_VALUE"""),236.98)</f>
        <v>236.98</v>
      </c>
      <c r="E236" s="2">
        <f>IFERROR(__xludf.DUMMYFUNCTION("""COMPUTED_VALUE"""),242.64)</f>
        <v>242.64</v>
      </c>
      <c r="F236" s="2">
        <f>IFERROR(__xludf.DUMMYFUNCTION("""COMPUTED_VALUE"""),1.07142262E8)</f>
        <v>107142262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IFERROR(__xludf.DUMMYFUNCTION("""COMPUTED_VALUE"""),240.27)</f>
        <v>240.27</v>
      </c>
      <c r="C237" s="2">
        <f>IFERROR(__xludf.DUMMYFUNCTION("""COMPUTED_VALUE"""),245.27)</f>
        <v>245.27</v>
      </c>
      <c r="D237" s="2">
        <f>IFERROR(__xludf.DUMMYFUNCTION("""COMPUTED_VALUE"""),239.27)</f>
        <v>239.27</v>
      </c>
      <c r="E237" s="2">
        <f>IFERROR(__xludf.DUMMYFUNCTION("""COMPUTED_VALUE"""),243.84)</f>
        <v>243.84</v>
      </c>
      <c r="F237" s="2">
        <f>IFERROR(__xludf.DUMMYFUNCTION("""COMPUTED_VALUE"""),1.03126829E8)</f>
        <v>103126829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IFERROR(__xludf.DUMMYFUNCTION("""COMPUTED_VALUE"""),242.74)</f>
        <v>242.74</v>
      </c>
      <c r="C238" s="2">
        <f>IFERROR(__xludf.DUMMYFUNCTION("""COMPUTED_VALUE"""),243.44)</f>
        <v>243.44</v>
      </c>
      <c r="D238" s="2">
        <f>IFERROR(__xludf.DUMMYFUNCTION("""COMPUTED_VALUE"""),237.45)</f>
        <v>237.45</v>
      </c>
      <c r="E238" s="2">
        <f>IFERROR(__xludf.DUMMYFUNCTION("""COMPUTED_VALUE"""),239.74)</f>
        <v>239.74</v>
      </c>
      <c r="F238" s="2">
        <f>IFERROR(__xludf.DUMMYFUNCTION("""COMPUTED_VALUE"""),9.7913888E7)</f>
        <v>97913888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IFERROR(__xludf.DUMMYFUNCTION("""COMPUTED_VALUE"""),238.55)</f>
        <v>238.55</v>
      </c>
      <c r="C239" s="2">
        <f>IFERROR(__xludf.DUMMYFUNCTION("""COMPUTED_VALUE"""),238.99)</f>
        <v>238.99</v>
      </c>
      <c r="D239" s="2">
        <f>IFERROR(__xludf.DUMMYFUNCTION("""COMPUTED_VALUE"""),233.87)</f>
        <v>233.87</v>
      </c>
      <c r="E239" s="2">
        <f>IFERROR(__xludf.DUMMYFUNCTION("""COMPUTED_VALUE"""),237.01)</f>
        <v>237.01</v>
      </c>
      <c r="F239" s="2">
        <f>IFERROR(__xludf.DUMMYFUNCTION("""COMPUTED_VALUE"""),9.5328313E7)</f>
        <v>95328313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IFERROR(__xludf.DUMMYFUNCTION("""COMPUTED_VALUE"""),234.19)</f>
        <v>234.19</v>
      </c>
      <c r="C240" s="2">
        <f>IFERROR(__xludf.DUMMYFUNCTION("""COMPUTED_VALUE"""),240.3)</f>
        <v>240.3</v>
      </c>
      <c r="D240" s="2">
        <f>IFERROR(__xludf.DUMMYFUNCTION("""COMPUTED_VALUE"""),228.2)</f>
        <v>228.2</v>
      </c>
      <c r="E240" s="2">
        <f>IFERROR(__xludf.DUMMYFUNCTION("""COMPUTED_VALUE"""),239.29)</f>
        <v>239.29</v>
      </c>
      <c r="F240" s="2">
        <f>IFERROR(__xludf.DUMMYFUNCTION("""COMPUTED_VALUE"""),1.46286348E8)</f>
        <v>146286348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IFERROR(__xludf.DUMMYFUNCTION("""COMPUTED_VALUE"""),241.22)</f>
        <v>241.22</v>
      </c>
      <c r="C241" s="2">
        <f>IFERROR(__xludf.DUMMYFUNCTION("""COMPUTED_VALUE"""),253.88)</f>
        <v>253.88</v>
      </c>
      <c r="D241" s="2">
        <f>IFERROR(__xludf.DUMMYFUNCTION("""COMPUTED_VALUE"""),240.79)</f>
        <v>240.79</v>
      </c>
      <c r="E241" s="2">
        <f>IFERROR(__xludf.DUMMYFUNCTION("""COMPUTED_VALUE"""),251.05)</f>
        <v>251.05</v>
      </c>
      <c r="F241" s="2">
        <f>IFERROR(__xludf.DUMMYFUNCTION("""COMPUTED_VALUE"""),1.60829239E8)</f>
        <v>160829239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IFERROR(__xludf.DUMMYFUNCTION("""COMPUTED_VALUE"""),251.21)</f>
        <v>251.21</v>
      </c>
      <c r="C242" s="2">
        <f>IFERROR(__xludf.DUMMYFUNCTION("""COMPUTED_VALUE"""),254.13)</f>
        <v>254.13</v>
      </c>
      <c r="D242" s="2">
        <f>IFERROR(__xludf.DUMMYFUNCTION("""COMPUTED_VALUE"""),248.3)</f>
        <v>248.3</v>
      </c>
      <c r="E242" s="2">
        <f>IFERROR(__xludf.DUMMYFUNCTION("""COMPUTED_VALUE"""),253.5)</f>
        <v>253.5</v>
      </c>
      <c r="F242" s="2">
        <f>IFERROR(__xludf.DUMMYFUNCTION("""COMPUTED_VALUE"""),1.35932762E8)</f>
        <v>135932762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IFERROR(__xludf.DUMMYFUNCTION("""COMPUTED_VALUE"""),253.78)</f>
        <v>253.78</v>
      </c>
      <c r="C243" s="2">
        <f>IFERROR(__xludf.DUMMYFUNCTION("""COMPUTED_VALUE"""),258.74)</f>
        <v>258.74</v>
      </c>
      <c r="D243" s="2">
        <f>IFERROR(__xludf.DUMMYFUNCTION("""COMPUTED_VALUE"""),251.36)</f>
        <v>251.36</v>
      </c>
      <c r="E243" s="2">
        <f>IFERROR(__xludf.DUMMYFUNCTION("""COMPUTED_VALUE"""),252.08)</f>
        <v>252.08</v>
      </c>
      <c r="F243" s="2">
        <f>IFERROR(__xludf.DUMMYFUNCTION("""COMPUTED_VALUE"""),1.1641649E8)</f>
        <v>116416490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IFERROR(__xludf.DUMMYFUNCTION("""COMPUTED_VALUE"""),253.48)</f>
        <v>253.48</v>
      </c>
      <c r="C244" s="2">
        <f>IFERROR(__xludf.DUMMYFUNCTION("""COMPUTED_VALUE"""),258.34)</f>
        <v>258.34</v>
      </c>
      <c r="D244" s="2">
        <f>IFERROR(__xludf.DUMMYFUNCTION("""COMPUTED_VALUE"""),253.01)</f>
        <v>253.01</v>
      </c>
      <c r="E244" s="2">
        <f>IFERROR(__xludf.DUMMYFUNCTION("""COMPUTED_VALUE"""),257.22)</f>
        <v>257.22</v>
      </c>
      <c r="F244" s="2">
        <f>IFERROR(__xludf.DUMMYFUNCTION("""COMPUTED_VALUE"""),1.06737369E8)</f>
        <v>106737369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IFERROR(__xludf.DUMMYFUNCTION("""COMPUTED_VALUE"""),256.41)</f>
        <v>256.41</v>
      </c>
      <c r="C245" s="2">
        <f>IFERROR(__xludf.DUMMYFUNCTION("""COMPUTED_VALUE"""),259.84)</f>
        <v>259.84</v>
      </c>
      <c r="D245" s="2">
        <f>IFERROR(__xludf.DUMMYFUNCTION("""COMPUTED_VALUE"""),247.0)</f>
        <v>247</v>
      </c>
      <c r="E245" s="2">
        <f>IFERROR(__xludf.DUMMYFUNCTION("""COMPUTED_VALUE"""),247.14)</f>
        <v>247.14</v>
      </c>
      <c r="F245" s="2">
        <f>IFERROR(__xludf.DUMMYFUNCTION("""COMPUTED_VALUE"""),1.25096987E8)</f>
        <v>125096987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IFERROR(__xludf.DUMMYFUNCTION("""COMPUTED_VALUE"""),251.9)</f>
        <v>251.9</v>
      </c>
      <c r="C246" s="2">
        <f>IFERROR(__xludf.DUMMYFUNCTION("""COMPUTED_VALUE"""),254.8)</f>
        <v>254.8</v>
      </c>
      <c r="D246" s="2">
        <f>IFERROR(__xludf.DUMMYFUNCTION("""COMPUTED_VALUE"""),248.55)</f>
        <v>248.55</v>
      </c>
      <c r="E246" s="2">
        <f>IFERROR(__xludf.DUMMYFUNCTION("""COMPUTED_VALUE"""),254.5)</f>
        <v>254.5</v>
      </c>
      <c r="F246" s="2">
        <f>IFERROR(__xludf.DUMMYFUNCTION("""COMPUTED_VALUE"""),1.09594227E8)</f>
        <v>109594227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IFERROR(__xludf.DUMMYFUNCTION("""COMPUTED_VALUE"""),256.76)</f>
        <v>256.76</v>
      </c>
      <c r="C247" s="2">
        <f>IFERROR(__xludf.DUMMYFUNCTION("""COMPUTED_VALUE"""),258.22)</f>
        <v>258.22</v>
      </c>
      <c r="D247" s="2">
        <f>IFERROR(__xludf.DUMMYFUNCTION("""COMPUTED_VALUE"""),251.37)</f>
        <v>251.37</v>
      </c>
      <c r="E247" s="2">
        <f>IFERROR(__xludf.DUMMYFUNCTION("""COMPUTED_VALUE"""),252.54)</f>
        <v>252.54</v>
      </c>
      <c r="F247" s="2">
        <f>IFERROR(__xludf.DUMMYFUNCTION("""COMPUTED_VALUE"""),9.3370094E7)</f>
        <v>93370094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IFERROR(__xludf.DUMMYFUNCTION("""COMPUTED_VALUE"""),254.49)</f>
        <v>254.49</v>
      </c>
      <c r="C248" s="2">
        <f>IFERROR(__xludf.DUMMYFUNCTION("""COMPUTED_VALUE"""),257.97)</f>
        <v>257.97</v>
      </c>
      <c r="D248" s="2">
        <f>IFERROR(__xludf.DUMMYFUNCTION("""COMPUTED_VALUE"""),252.91)</f>
        <v>252.91</v>
      </c>
      <c r="E248" s="2">
        <f>IFERROR(__xludf.DUMMYFUNCTION("""COMPUTED_VALUE"""),256.61)</f>
        <v>256.61</v>
      </c>
      <c r="F248" s="2">
        <f>IFERROR(__xludf.DUMMYFUNCTION("""COMPUTED_VALUE"""),8.6892382E7)</f>
        <v>86892382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IFERROR(__xludf.DUMMYFUNCTION("""COMPUTED_VALUE"""),258.35)</f>
        <v>258.35</v>
      </c>
      <c r="C249" s="2">
        <f>IFERROR(__xludf.DUMMYFUNCTION("""COMPUTED_VALUE"""),263.34)</f>
        <v>263.34</v>
      </c>
      <c r="D249" s="2">
        <f>IFERROR(__xludf.DUMMYFUNCTION("""COMPUTED_VALUE"""),257.52)</f>
        <v>257.52</v>
      </c>
      <c r="E249" s="2">
        <f>IFERROR(__xludf.DUMMYFUNCTION("""COMPUTED_VALUE"""),261.44)</f>
        <v>261.44</v>
      </c>
      <c r="F249" s="2">
        <f>IFERROR(__xludf.DUMMYFUNCTION("""COMPUTED_VALUE"""),1.06494359E8)</f>
        <v>106494359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IFERROR(__xludf.DUMMYFUNCTION("""COMPUTED_VALUE"""),263.66)</f>
        <v>263.66</v>
      </c>
      <c r="C250" s="2">
        <f>IFERROR(__xludf.DUMMYFUNCTION("""COMPUTED_VALUE"""),265.13)</f>
        <v>265.13</v>
      </c>
      <c r="D250" s="2">
        <f>IFERROR(__xludf.DUMMYFUNCTION("""COMPUTED_VALUE"""),252.71)</f>
        <v>252.71</v>
      </c>
      <c r="E250" s="2">
        <f>IFERROR(__xludf.DUMMYFUNCTION("""COMPUTED_VALUE"""),253.18)</f>
        <v>253.18</v>
      </c>
      <c r="F250" s="2">
        <f>IFERROR(__xludf.DUMMYFUNCTION("""COMPUTED_VALUE"""),1.13619943E8)</f>
        <v>113619943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IFERROR(__xludf.DUMMYFUNCTION("""COMPUTED_VALUE"""),255.1)</f>
        <v>255.1</v>
      </c>
      <c r="C251" s="2">
        <f>IFERROR(__xludf.DUMMYFUNCTION("""COMPUTED_VALUE"""),255.19)</f>
        <v>255.19</v>
      </c>
      <c r="D251" s="2">
        <f>IFERROR(__xludf.DUMMYFUNCTION("""COMPUTED_VALUE"""),247.43)</f>
        <v>247.43</v>
      </c>
      <c r="E251" s="2">
        <f>IFERROR(__xludf.DUMMYFUNCTION("""COMPUTED_VALUE"""),248.48)</f>
        <v>248.48</v>
      </c>
      <c r="F251" s="2">
        <f>IFERROR(__xludf.DUMMYFUNCTION("""COMPUTED_VALUE"""),1.00891578E8)</f>
        <v>100891578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IFERROR(__xludf.DUMMYFUNCTION("""COMPUTED_VALUE"""),250.08)</f>
        <v>250.08</v>
      </c>
      <c r="C252" s="2">
        <f>IFERROR(__xludf.DUMMYFUNCTION("""COMPUTED_VALUE"""),251.25)</f>
        <v>251.25</v>
      </c>
      <c r="D252" s="2">
        <f>IFERROR(__xludf.DUMMYFUNCTION("""COMPUTED_VALUE"""),244.41)</f>
        <v>244.41</v>
      </c>
      <c r="E252" s="2">
        <f>IFERROR(__xludf.DUMMYFUNCTION("""COMPUTED_VALUE"""),248.42)</f>
        <v>248.42</v>
      </c>
      <c r="F252" s="2">
        <f>IFERROR(__xludf.DUMMYFUNCTION("""COMPUTED_VALUE"""),1.04654163E8)</f>
        <v>104654163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IFERROR(__xludf.DUMMYFUNCTION("""COMPUTED_VALUE"""),244.98)</f>
        <v>244.98</v>
      </c>
      <c r="C253" s="2">
        <f>IFERROR(__xludf.DUMMYFUNCTION("""COMPUTED_VALUE"""),245.68)</f>
        <v>245.68</v>
      </c>
      <c r="D253" s="2">
        <f>IFERROR(__xludf.DUMMYFUNCTION("""COMPUTED_VALUE"""),236.32)</f>
        <v>236.32</v>
      </c>
      <c r="E253" s="2">
        <f>IFERROR(__xludf.DUMMYFUNCTION("""COMPUTED_VALUE"""),238.45)</f>
        <v>238.45</v>
      </c>
      <c r="F253" s="2">
        <f>IFERROR(__xludf.DUMMYFUNCTION("""COMPUTED_VALUE"""),1.21082599E8)</f>
        <v>121082599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IFERROR(__xludf.DUMMYFUNCTION("""COMPUTED_VALUE"""),239.25)</f>
        <v>239.25</v>
      </c>
      <c r="C254" s="2">
        <f>IFERROR(__xludf.DUMMYFUNCTION("""COMPUTED_VALUE"""),242.7)</f>
        <v>242.7</v>
      </c>
      <c r="D254" s="2">
        <f>IFERROR(__xludf.DUMMYFUNCTION("""COMPUTED_VALUE"""),237.73)</f>
        <v>237.73</v>
      </c>
      <c r="E254" s="2">
        <f>IFERROR(__xludf.DUMMYFUNCTION("""COMPUTED_VALUE"""),237.93)</f>
        <v>237.93</v>
      </c>
      <c r="F254" s="2">
        <f>IFERROR(__xludf.DUMMYFUNCTION("""COMPUTED_VALUE"""),1.02629283E8)</f>
        <v>102629283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IFERROR(__xludf.DUMMYFUNCTION("""COMPUTED_VALUE"""),236.86)</f>
        <v>236.86</v>
      </c>
      <c r="C255" s="2">
        <f>IFERROR(__xludf.DUMMYFUNCTION("""COMPUTED_VALUE"""),240.12)</f>
        <v>240.12</v>
      </c>
      <c r="D255" s="2">
        <f>IFERROR(__xludf.DUMMYFUNCTION("""COMPUTED_VALUE"""),234.9)</f>
        <v>234.9</v>
      </c>
      <c r="E255" s="2">
        <f>IFERROR(__xludf.DUMMYFUNCTION("""COMPUTED_VALUE"""),237.49)</f>
        <v>237.49</v>
      </c>
      <c r="F255" s="2">
        <f>IFERROR(__xludf.DUMMYFUNCTION("""COMPUTED_VALUE"""),9.2488939E7)</f>
        <v>92488939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IFERROR(__xludf.DUMMYFUNCTION("""COMPUTED_VALUE"""),236.14)</f>
        <v>236.14</v>
      </c>
      <c r="C256" s="2">
        <f>IFERROR(__xludf.DUMMYFUNCTION("""COMPUTED_VALUE"""),241.25)</f>
        <v>241.25</v>
      </c>
      <c r="D256" s="2">
        <f>IFERROR(__xludf.DUMMYFUNCTION("""COMPUTED_VALUE"""),235.3)</f>
        <v>235.3</v>
      </c>
      <c r="E256" s="2">
        <f>IFERROR(__xludf.DUMMYFUNCTION("""COMPUTED_VALUE"""),240.45)</f>
        <v>240.45</v>
      </c>
      <c r="F256" s="2">
        <f>IFERROR(__xludf.DUMMYFUNCTION("""COMPUTED_VALUE"""),8.516658E7)</f>
        <v>85166580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IFERROR(__xludf.DUMMYFUNCTION("""COMPUTED_VALUE"""),238.11)</f>
        <v>238.11</v>
      </c>
      <c r="C257" s="2">
        <f>IFERROR(__xludf.DUMMYFUNCTION("""COMPUTED_VALUE"""),238.96)</f>
        <v>238.96</v>
      </c>
      <c r="D257" s="2">
        <f>IFERROR(__xludf.DUMMYFUNCTION("""COMPUTED_VALUE"""),232.04)</f>
        <v>232.04</v>
      </c>
      <c r="E257" s="2">
        <f>IFERROR(__xludf.DUMMYFUNCTION("""COMPUTED_VALUE"""),234.96)</f>
        <v>234.96</v>
      </c>
      <c r="F257" s="2">
        <f>IFERROR(__xludf.DUMMYFUNCTION("""COMPUTED_VALUE"""),9.6705664E7)</f>
        <v>96705664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IFERROR(__xludf.DUMMYFUNCTION("""COMPUTED_VALUE"""),235.1)</f>
        <v>235.1</v>
      </c>
      <c r="C258" s="2">
        <f>IFERROR(__xludf.DUMMYFUNCTION("""COMPUTED_VALUE"""),235.5)</f>
        <v>235.5</v>
      </c>
      <c r="D258" s="2">
        <f>IFERROR(__xludf.DUMMYFUNCTION("""COMPUTED_VALUE"""),231.29)</f>
        <v>231.29</v>
      </c>
      <c r="E258" s="2">
        <f>IFERROR(__xludf.DUMMYFUNCTION("""COMPUTED_VALUE"""),233.94)</f>
        <v>233.94</v>
      </c>
      <c r="F258" s="2">
        <f>IFERROR(__xludf.DUMMYFUNCTION("""COMPUTED_VALUE"""),9.1628502E7)</f>
        <v>91628502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IFERROR(__xludf.DUMMYFUNCTION("""COMPUTED_VALUE"""),230.57)</f>
        <v>230.57</v>
      </c>
      <c r="C259" s="2">
        <f>IFERROR(__xludf.DUMMYFUNCTION("""COMPUTED_VALUE"""),230.93)</f>
        <v>230.93</v>
      </c>
      <c r="D259" s="2">
        <f>IFERROR(__xludf.DUMMYFUNCTION("""COMPUTED_VALUE"""),225.37)</f>
        <v>225.37</v>
      </c>
      <c r="E259" s="2">
        <f>IFERROR(__xludf.DUMMYFUNCTION("""COMPUTED_VALUE"""),227.22)</f>
        <v>227.22</v>
      </c>
      <c r="F259" s="2">
        <f>IFERROR(__xludf.DUMMYFUNCTION("""COMPUTED_VALUE"""),1.05873612E8)</f>
        <v>105873612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IFERROR(__xludf.DUMMYFUNCTION("""COMPUTED_VALUE"""),220.08)</f>
        <v>220.08</v>
      </c>
      <c r="C260" s="2">
        <f>IFERROR(__xludf.DUMMYFUNCTION("""COMPUTED_VALUE"""),225.34)</f>
        <v>225.34</v>
      </c>
      <c r="D260" s="2">
        <f>IFERROR(__xludf.DUMMYFUNCTION("""COMPUTED_VALUE"""),217.15)</f>
        <v>217.15</v>
      </c>
      <c r="E260" s="2">
        <f>IFERROR(__xludf.DUMMYFUNCTION("""COMPUTED_VALUE"""),218.89)</f>
        <v>218.89</v>
      </c>
      <c r="F260" s="2">
        <f>IFERROR(__xludf.DUMMYFUNCTION("""COMPUTED_VALUE"""),1.23043812E8)</f>
        <v>123043812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IFERROR(__xludf.DUMMYFUNCTION("""COMPUTED_VALUE"""),215.1)</f>
        <v>215.1</v>
      </c>
      <c r="C261" s="2">
        <f>IFERROR(__xludf.DUMMYFUNCTION("""COMPUTED_VALUE"""),223.49)</f>
        <v>223.49</v>
      </c>
      <c r="D261" s="2">
        <f>IFERROR(__xludf.DUMMYFUNCTION("""COMPUTED_VALUE"""),212.18)</f>
        <v>212.18</v>
      </c>
      <c r="E261" s="2">
        <f>IFERROR(__xludf.DUMMYFUNCTION("""COMPUTED_VALUE"""),219.91)</f>
        <v>219.91</v>
      </c>
      <c r="F261" s="2">
        <f>IFERROR(__xludf.DUMMYFUNCTION("""COMPUTED_VALUE"""),1.15355046E8)</f>
        <v>115355046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IFERROR(__xludf.DUMMYFUNCTION("""COMPUTED_VALUE"""),214.86)</f>
        <v>214.86</v>
      </c>
      <c r="C262" s="2">
        <f>IFERROR(__xludf.DUMMYFUNCTION("""COMPUTED_VALUE"""),215.67)</f>
        <v>215.67</v>
      </c>
      <c r="D262" s="2">
        <f>IFERROR(__xludf.DUMMYFUNCTION("""COMPUTED_VALUE"""),212.01)</f>
        <v>212.01</v>
      </c>
      <c r="E262" s="2">
        <f>IFERROR(__xludf.DUMMYFUNCTION("""COMPUTED_VALUE"""),215.55)</f>
        <v>215.55</v>
      </c>
      <c r="F262" s="2">
        <f>IFERROR(__xludf.DUMMYFUNCTION("""COMPUTED_VALUE"""),1.031644E8)</f>
        <v>103164400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IFERROR(__xludf.DUMMYFUNCTION("""COMPUTED_VALUE"""),216.88)</f>
        <v>216.88</v>
      </c>
      <c r="C263" s="2">
        <f>IFERROR(__xludf.DUMMYFUNCTION("""COMPUTED_VALUE"""),217.45)</f>
        <v>217.45</v>
      </c>
      <c r="D263" s="2">
        <f>IFERROR(__xludf.DUMMYFUNCTION("""COMPUTED_VALUE"""),208.74)</f>
        <v>208.74</v>
      </c>
      <c r="E263" s="2">
        <f>IFERROR(__xludf.DUMMYFUNCTION("""COMPUTED_VALUE"""),211.88)</f>
        <v>211.88</v>
      </c>
      <c r="F263" s="2">
        <f>IFERROR(__xludf.DUMMYFUNCTION("""COMPUTED_VALUE"""),1.08595431E8)</f>
        <v>108595431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IFERROR(__xludf.DUMMYFUNCTION("""COMPUTED_VALUE"""),209.99)</f>
        <v>209.99</v>
      </c>
      <c r="C264" s="2">
        <f>IFERROR(__xludf.DUMMYFUNCTION("""COMPUTED_VALUE"""),213.19)</f>
        <v>213.19</v>
      </c>
      <c r="D264" s="2">
        <f>IFERROR(__xludf.DUMMYFUNCTION("""COMPUTED_VALUE"""),207.56)</f>
        <v>207.56</v>
      </c>
      <c r="E264" s="2">
        <f>IFERROR(__xludf.DUMMYFUNCTION("""COMPUTED_VALUE"""),212.19)</f>
        <v>212.19</v>
      </c>
      <c r="F264" s="2">
        <f>IFERROR(__xludf.DUMMYFUNCTION("""COMPUTED_VALUE"""),1.02260343E8)</f>
        <v>102260343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IFERROR(__xludf.DUMMYFUNCTION("""COMPUTED_VALUE"""),212.26)</f>
        <v>212.26</v>
      </c>
      <c r="C265" s="2">
        <f>IFERROR(__xludf.DUMMYFUNCTION("""COMPUTED_VALUE"""),217.8)</f>
        <v>217.8</v>
      </c>
      <c r="D265" s="2">
        <f>IFERROR(__xludf.DUMMYFUNCTION("""COMPUTED_VALUE"""),206.27)</f>
        <v>206.27</v>
      </c>
      <c r="E265" s="2">
        <f>IFERROR(__xludf.DUMMYFUNCTION("""COMPUTED_VALUE"""),208.8)</f>
        <v>208.8</v>
      </c>
      <c r="F265" s="2">
        <f>IFERROR(__xludf.DUMMYFUNCTION("""COMPUTED_VALUE"""),1.17952527E8)</f>
        <v>117952527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IFERROR(__xludf.DUMMYFUNCTION("""COMPUTED_VALUE"""),211.3)</f>
        <v>211.3</v>
      </c>
      <c r="C266" s="2">
        <f>IFERROR(__xludf.DUMMYFUNCTION("""COMPUTED_VALUE"""),215.65)</f>
        <v>215.65</v>
      </c>
      <c r="D266" s="2">
        <f>IFERROR(__xludf.DUMMYFUNCTION("""COMPUTED_VALUE"""),207.75)</f>
        <v>207.75</v>
      </c>
      <c r="E266" s="2">
        <f>IFERROR(__xludf.DUMMYFUNCTION("""COMPUTED_VALUE"""),209.14)</f>
        <v>209.14</v>
      </c>
      <c r="F266" s="2">
        <f>IFERROR(__xludf.DUMMYFUNCTION("""COMPUTED_VALUE"""),1.06605946E8)</f>
        <v>106605946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IFERROR(__xludf.DUMMYFUNCTION("""COMPUTED_VALUE"""),211.88)</f>
        <v>211.88</v>
      </c>
      <c r="C267" s="2">
        <f>IFERROR(__xludf.DUMMYFUNCTION("""COMPUTED_VALUE"""),212.73)</f>
        <v>212.73</v>
      </c>
      <c r="D267" s="2">
        <f>IFERROR(__xludf.DUMMYFUNCTION("""COMPUTED_VALUE"""),206.77)</f>
        <v>206.77</v>
      </c>
      <c r="E267" s="2">
        <f>IFERROR(__xludf.DUMMYFUNCTION("""COMPUTED_VALUE"""),207.83)</f>
        <v>207.83</v>
      </c>
      <c r="F267" s="2">
        <f>IFERROR(__xludf.DUMMYFUNCTION("""COMPUTED_VALUE"""),1.23369932E8)</f>
        <v>123369932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IFERROR(__xludf.DUMMYFUNCTION("""COMPUTED_VALUE"""),189.7)</f>
        <v>189.7</v>
      </c>
      <c r="C268" s="2">
        <f>IFERROR(__xludf.DUMMYFUNCTION("""COMPUTED_VALUE"""),193.0)</f>
        <v>193</v>
      </c>
      <c r="D268" s="2">
        <f>IFERROR(__xludf.DUMMYFUNCTION("""COMPUTED_VALUE"""),180.06)</f>
        <v>180.06</v>
      </c>
      <c r="E268" s="2">
        <f>IFERROR(__xludf.DUMMYFUNCTION("""COMPUTED_VALUE"""),182.63)</f>
        <v>182.63</v>
      </c>
      <c r="F268" s="2">
        <f>IFERROR(__xludf.DUMMYFUNCTION("""COMPUTED_VALUE"""),1.98076787E8)</f>
        <v>198076787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IFERROR(__xludf.DUMMYFUNCTION("""COMPUTED_VALUE"""),185.5)</f>
        <v>185.5</v>
      </c>
      <c r="C269" s="2">
        <f>IFERROR(__xludf.DUMMYFUNCTION("""COMPUTED_VALUE"""),186.78)</f>
        <v>186.78</v>
      </c>
      <c r="D269" s="2">
        <f>IFERROR(__xludf.DUMMYFUNCTION("""COMPUTED_VALUE"""),182.1)</f>
        <v>182.1</v>
      </c>
      <c r="E269" s="2">
        <f>IFERROR(__xludf.DUMMYFUNCTION("""COMPUTED_VALUE"""),183.25)</f>
        <v>183.25</v>
      </c>
      <c r="F269" s="2">
        <f>IFERROR(__xludf.DUMMYFUNCTION("""COMPUTED_VALUE"""),1.07343231E8)</f>
        <v>107343231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IFERROR(__xludf.DUMMYFUNCTION("""COMPUTED_VALUE"""),185.63)</f>
        <v>185.63</v>
      </c>
      <c r="C270" s="2">
        <f>IFERROR(__xludf.DUMMYFUNCTION("""COMPUTED_VALUE"""),191.48)</f>
        <v>191.48</v>
      </c>
      <c r="D270" s="2">
        <f>IFERROR(__xludf.DUMMYFUNCTION("""COMPUTED_VALUE"""),183.67)</f>
        <v>183.67</v>
      </c>
      <c r="E270" s="2">
        <f>IFERROR(__xludf.DUMMYFUNCTION("""COMPUTED_VALUE"""),190.93)</f>
        <v>190.93</v>
      </c>
      <c r="F270" s="2">
        <f>IFERROR(__xludf.DUMMYFUNCTION("""COMPUTED_VALUE"""),1.25013148E8)</f>
        <v>125013148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IFERROR(__xludf.DUMMYFUNCTION("""COMPUTED_VALUE"""),195.33)</f>
        <v>195.33</v>
      </c>
      <c r="C271" s="2">
        <f>IFERROR(__xludf.DUMMYFUNCTION("""COMPUTED_VALUE"""),196.36)</f>
        <v>196.36</v>
      </c>
      <c r="D271" s="2">
        <f>IFERROR(__xludf.DUMMYFUNCTION("""COMPUTED_VALUE"""),190.61)</f>
        <v>190.61</v>
      </c>
      <c r="E271" s="2">
        <f>IFERROR(__xludf.DUMMYFUNCTION("""COMPUTED_VALUE"""),191.59)</f>
        <v>191.59</v>
      </c>
      <c r="F271" s="2">
        <f>IFERROR(__xludf.DUMMYFUNCTION("""COMPUTED_VALUE"""),1.09982327E8)</f>
        <v>109982327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IFERROR(__xludf.DUMMYFUNCTION("""COMPUTED_VALUE"""),187.0)</f>
        <v>187</v>
      </c>
      <c r="C272" s="2">
        <f>IFERROR(__xludf.DUMMYFUNCTION("""COMPUTED_VALUE"""),193.97)</f>
        <v>193.97</v>
      </c>
      <c r="D272" s="2">
        <f>IFERROR(__xludf.DUMMYFUNCTION("""COMPUTED_VALUE"""),185.85)</f>
        <v>185.85</v>
      </c>
      <c r="E272" s="2">
        <f>IFERROR(__xludf.DUMMYFUNCTION("""COMPUTED_VALUE"""),187.29)</f>
        <v>187.29</v>
      </c>
      <c r="F272" s="2">
        <f>IFERROR(__xludf.DUMMYFUNCTION("""COMPUTED_VALUE"""),1.0322143E8)</f>
        <v>103221430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IFERROR(__xludf.DUMMYFUNCTION("""COMPUTED_VALUE"""),188.5)</f>
        <v>188.5</v>
      </c>
      <c r="C273" s="2">
        <f>IFERROR(__xludf.DUMMYFUNCTION("""COMPUTED_VALUE"""),189.88)</f>
        <v>189.88</v>
      </c>
      <c r="D273" s="2">
        <f>IFERROR(__xludf.DUMMYFUNCTION("""COMPUTED_VALUE"""),184.28)</f>
        <v>184.28</v>
      </c>
      <c r="E273" s="2">
        <f>IFERROR(__xludf.DUMMYFUNCTION("""COMPUTED_VALUE"""),188.86)</f>
        <v>188.86</v>
      </c>
      <c r="F273" s="2">
        <f>IFERROR(__xludf.DUMMYFUNCTION("""COMPUTED_VALUE"""),9.1843275E7)</f>
        <v>91843275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IFERROR(__xludf.DUMMYFUNCTION("""COMPUTED_VALUE"""),185.04)</f>
        <v>185.04</v>
      </c>
      <c r="C274" s="2">
        <f>IFERROR(__xludf.DUMMYFUNCTION("""COMPUTED_VALUE"""),188.69)</f>
        <v>188.69</v>
      </c>
      <c r="D274" s="2">
        <f>IFERROR(__xludf.DUMMYFUNCTION("""COMPUTED_VALUE"""),182.0)</f>
        <v>182</v>
      </c>
      <c r="E274" s="2">
        <f>IFERROR(__xludf.DUMMYFUNCTION("""COMPUTED_VALUE"""),187.91)</f>
        <v>187.91</v>
      </c>
      <c r="F274" s="2">
        <f>IFERROR(__xludf.DUMMYFUNCTION("""COMPUTED_VALUE"""),1.10612672E8)</f>
        <v>110612672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IFERROR(__xludf.DUMMYFUNCTION("""COMPUTED_VALUE"""),184.26)</f>
        <v>184.26</v>
      </c>
      <c r="C275" s="2">
        <f>IFERROR(__xludf.DUMMYFUNCTION("""COMPUTED_VALUE"""),184.68)</f>
        <v>184.68</v>
      </c>
      <c r="D275" s="2">
        <f>IFERROR(__xludf.DUMMYFUNCTION("""COMPUTED_VALUE"""),175.01)</f>
        <v>175.01</v>
      </c>
      <c r="E275" s="2">
        <f>IFERROR(__xludf.DUMMYFUNCTION("""COMPUTED_VALUE"""),181.06)</f>
        <v>181.06</v>
      </c>
      <c r="F275" s="2">
        <f>IFERROR(__xludf.DUMMYFUNCTION("""COMPUTED_VALUE"""),1.34294447E8)</f>
        <v>134294447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IFERROR(__xludf.DUMMYFUNCTION("""COMPUTED_VALUE"""),177.21)</f>
        <v>177.21</v>
      </c>
      <c r="C276" s="2">
        <f>IFERROR(__xludf.DUMMYFUNCTION("""COMPUTED_VALUE"""),186.49)</f>
        <v>186.49</v>
      </c>
      <c r="D276" s="2">
        <f>IFERROR(__xludf.DUMMYFUNCTION("""COMPUTED_VALUE"""),177.11)</f>
        <v>177.11</v>
      </c>
      <c r="E276" s="2">
        <f>IFERROR(__xludf.DUMMYFUNCTION("""COMPUTED_VALUE"""),185.1)</f>
        <v>185.1</v>
      </c>
      <c r="F276" s="2">
        <f>IFERROR(__xludf.DUMMYFUNCTION("""COMPUTED_VALUE"""),1.22675954E8)</f>
        <v>122675954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IFERROR(__xludf.DUMMYFUNCTION("""COMPUTED_VALUE"""),188.18)</f>
        <v>188.18</v>
      </c>
      <c r="C277" s="2">
        <f>IFERROR(__xludf.DUMMYFUNCTION("""COMPUTED_VALUE"""),189.79)</f>
        <v>189.79</v>
      </c>
      <c r="D277" s="2">
        <f>IFERROR(__xludf.DUMMYFUNCTION("""COMPUTED_VALUE"""),182.68)</f>
        <v>182.68</v>
      </c>
      <c r="E277" s="2">
        <f>IFERROR(__xludf.DUMMYFUNCTION("""COMPUTED_VALUE"""),187.58)</f>
        <v>187.58</v>
      </c>
      <c r="F277" s="2">
        <f>IFERROR(__xludf.DUMMYFUNCTION("""COMPUTED_VALUE"""),1.11535217E8)</f>
        <v>111535217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IFERROR(__xludf.DUMMYFUNCTION("""COMPUTED_VALUE"""),189.0)</f>
        <v>189</v>
      </c>
      <c r="C278" s="2">
        <f>IFERROR(__xludf.DUMMYFUNCTION("""COMPUTED_VALUE"""),191.62)</f>
        <v>191.62</v>
      </c>
      <c r="D278" s="2">
        <f>IFERROR(__xludf.DUMMYFUNCTION("""COMPUTED_VALUE"""),185.58)</f>
        <v>185.58</v>
      </c>
      <c r="E278" s="2">
        <f>IFERROR(__xludf.DUMMYFUNCTION("""COMPUTED_VALUE"""),189.56)</f>
        <v>189.56</v>
      </c>
      <c r="F278" s="2">
        <f>IFERROR(__xludf.DUMMYFUNCTION("""COMPUTED_VALUE"""),8.3034043E7)</f>
        <v>83034043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IFERROR(__xludf.DUMMYFUNCTION("""COMPUTED_VALUE"""),190.18)</f>
        <v>190.18</v>
      </c>
      <c r="C279" s="2">
        <f>IFERROR(__xludf.DUMMYFUNCTION("""COMPUTED_VALUE"""),194.12)</f>
        <v>194.12</v>
      </c>
      <c r="D279" s="2">
        <f>IFERROR(__xludf.DUMMYFUNCTION("""COMPUTED_VALUE"""),189.48)</f>
        <v>189.48</v>
      </c>
      <c r="E279" s="2">
        <f>IFERROR(__xludf.DUMMYFUNCTION("""COMPUTED_VALUE"""),193.57)</f>
        <v>193.57</v>
      </c>
      <c r="F279" s="2">
        <f>IFERROR(__xludf.DUMMYFUNCTION("""COMPUTED_VALUE"""),8.4476347E7)</f>
        <v>84476347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IFERROR(__xludf.DUMMYFUNCTION("""COMPUTED_VALUE"""),192.11)</f>
        <v>192.11</v>
      </c>
      <c r="C280" s="2">
        <f>IFERROR(__xludf.DUMMYFUNCTION("""COMPUTED_VALUE"""),194.73)</f>
        <v>194.73</v>
      </c>
      <c r="D280" s="2">
        <f>IFERROR(__xludf.DUMMYFUNCTION("""COMPUTED_VALUE"""),187.28)</f>
        <v>187.28</v>
      </c>
      <c r="E280" s="2">
        <f>IFERROR(__xludf.DUMMYFUNCTION("""COMPUTED_VALUE"""),188.13)</f>
        <v>188.13</v>
      </c>
      <c r="F280" s="2">
        <f>IFERROR(__xludf.DUMMYFUNCTION("""COMPUTED_VALUE"""),9.5498597E7)</f>
        <v>95498597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IFERROR(__xludf.DUMMYFUNCTION("""COMPUTED_VALUE"""),183.99)</f>
        <v>183.99</v>
      </c>
      <c r="C281" s="2">
        <f>IFERROR(__xludf.DUMMYFUNCTION("""COMPUTED_VALUE"""),187.26)</f>
        <v>187.26</v>
      </c>
      <c r="D281" s="2">
        <f>IFERROR(__xludf.DUMMYFUNCTION("""COMPUTED_VALUE"""),182.11)</f>
        <v>182.11</v>
      </c>
      <c r="E281" s="2">
        <f>IFERROR(__xludf.DUMMYFUNCTION("""COMPUTED_VALUE"""),184.02)</f>
        <v>184.02</v>
      </c>
      <c r="F281" s="2">
        <f>IFERROR(__xludf.DUMMYFUNCTION("""COMPUTED_VALUE"""),8.6759478E7)</f>
        <v>86759478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IFERROR(__xludf.DUMMYFUNCTION("""COMPUTED_VALUE"""),185.3)</f>
        <v>185.3</v>
      </c>
      <c r="C282" s="2">
        <f>IFERROR(__xludf.DUMMYFUNCTION("""COMPUTED_VALUE"""),188.89)</f>
        <v>188.89</v>
      </c>
      <c r="D282" s="2">
        <f>IFERROR(__xludf.DUMMYFUNCTION("""COMPUTED_VALUE"""),183.35)</f>
        <v>183.35</v>
      </c>
      <c r="E282" s="2">
        <f>IFERROR(__xludf.DUMMYFUNCTION("""COMPUTED_VALUE"""),188.71)</f>
        <v>188.71</v>
      </c>
      <c r="F282" s="2">
        <f>IFERROR(__xludf.DUMMYFUNCTION("""COMPUTED_VALUE"""),8.1202987E7)</f>
        <v>81202987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IFERROR(__xludf.DUMMYFUNCTION("""COMPUTED_VALUE"""),189.16)</f>
        <v>189.16</v>
      </c>
      <c r="C283" s="2">
        <f>IFERROR(__xludf.DUMMYFUNCTION("""COMPUTED_VALUE"""),200.88)</f>
        <v>200.88</v>
      </c>
      <c r="D283" s="2">
        <f>IFERROR(__xludf.DUMMYFUNCTION("""COMPUTED_VALUE"""),188.86)</f>
        <v>188.86</v>
      </c>
      <c r="E283" s="2">
        <f>IFERROR(__xludf.DUMMYFUNCTION("""COMPUTED_VALUE"""),200.45)</f>
        <v>200.45</v>
      </c>
      <c r="F283" s="2">
        <f>IFERROR(__xludf.DUMMYFUNCTION("""COMPUTED_VALUE"""),1.20831762E8)</f>
        <v>120831762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IFERROR(__xludf.DUMMYFUNCTION("""COMPUTED_VALUE"""),202.06)</f>
        <v>202.06</v>
      </c>
      <c r="C284" s="2">
        <f>IFERROR(__xludf.DUMMYFUNCTION("""COMPUTED_VALUE"""),203.17)</f>
        <v>203.17</v>
      </c>
      <c r="D284" s="2">
        <f>IFERROR(__xludf.DUMMYFUNCTION("""COMPUTED_VALUE"""),197.4)</f>
        <v>197.4</v>
      </c>
      <c r="E284" s="2">
        <f>IFERROR(__xludf.DUMMYFUNCTION("""COMPUTED_VALUE"""),199.95)</f>
        <v>199.95</v>
      </c>
      <c r="F284" s="2">
        <f>IFERROR(__xludf.DUMMYFUNCTION("""COMPUTED_VALUE"""),1.11346705E8)</f>
        <v>111346705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IFERROR(__xludf.DUMMYFUNCTION("""COMPUTED_VALUE"""),196.13)</f>
        <v>196.13</v>
      </c>
      <c r="C285" s="2">
        <f>IFERROR(__xludf.DUMMYFUNCTION("""COMPUTED_VALUE"""),198.6)</f>
        <v>198.6</v>
      </c>
      <c r="D285" s="2">
        <f>IFERROR(__xludf.DUMMYFUNCTION("""COMPUTED_VALUE"""),189.13)</f>
        <v>189.13</v>
      </c>
      <c r="E285" s="2">
        <f>IFERROR(__xludf.DUMMYFUNCTION("""COMPUTED_VALUE"""),193.76)</f>
        <v>193.76</v>
      </c>
      <c r="F285" s="2">
        <f>IFERROR(__xludf.DUMMYFUNCTION("""COMPUTED_VALUE"""),1.04545762E8)</f>
        <v>104545762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IFERROR(__xludf.DUMMYFUNCTION("""COMPUTED_VALUE"""),193.36)</f>
        <v>193.36</v>
      </c>
      <c r="C286" s="2">
        <f>IFERROR(__xludf.DUMMYFUNCTION("""COMPUTED_VALUE"""),199.44)</f>
        <v>199.44</v>
      </c>
      <c r="D286" s="2">
        <f>IFERROR(__xludf.DUMMYFUNCTION("""COMPUTED_VALUE"""),191.95)</f>
        <v>191.95</v>
      </c>
      <c r="E286" s="2">
        <f>IFERROR(__xludf.DUMMYFUNCTION("""COMPUTED_VALUE"""),194.77)</f>
        <v>194.77</v>
      </c>
      <c r="F286" s="2">
        <f>IFERROR(__xludf.DUMMYFUNCTION("""COMPUTED_VALUE"""),1.03844008E8)</f>
        <v>103844008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IFERROR(__xludf.DUMMYFUNCTION("""COMPUTED_VALUE"""),194.0)</f>
        <v>194</v>
      </c>
      <c r="C287" s="2">
        <f>IFERROR(__xludf.DUMMYFUNCTION("""COMPUTED_VALUE"""),198.32)</f>
        <v>198.32</v>
      </c>
      <c r="D287" s="2">
        <f>IFERROR(__xludf.DUMMYFUNCTION("""COMPUTED_VALUE"""),191.36)</f>
        <v>191.36</v>
      </c>
      <c r="E287" s="2">
        <f>IFERROR(__xludf.DUMMYFUNCTION("""COMPUTED_VALUE"""),197.41)</f>
        <v>197.41</v>
      </c>
      <c r="F287" s="2">
        <f>IFERROR(__xludf.DUMMYFUNCTION("""COMPUTED_VALUE"""),9.2739461E7)</f>
        <v>92739461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IFERROR(__xludf.DUMMYFUNCTION("""COMPUTED_VALUE"""),195.31)</f>
        <v>195.31</v>
      </c>
      <c r="C288" s="2">
        <f>IFERROR(__xludf.DUMMYFUNCTION("""COMPUTED_VALUE"""),197.57)</f>
        <v>197.57</v>
      </c>
      <c r="D288" s="2">
        <f>IFERROR(__xludf.DUMMYFUNCTION("""COMPUTED_VALUE"""),191.5)</f>
        <v>191.5</v>
      </c>
      <c r="E288" s="2">
        <f>IFERROR(__xludf.DUMMYFUNCTION("""COMPUTED_VALUE"""),191.97)</f>
        <v>191.97</v>
      </c>
      <c r="F288" s="2">
        <f>IFERROR(__xludf.DUMMYFUNCTION("""COMPUTED_VALUE"""),7.8841917E7)</f>
        <v>78841917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IFERROR(__xludf.DUMMYFUNCTION("""COMPUTED_VALUE"""),192.29)</f>
        <v>192.29</v>
      </c>
      <c r="C289" s="2">
        <f>IFERROR(__xludf.DUMMYFUNCTION("""COMPUTED_VALUE"""),201.78)</f>
        <v>201.78</v>
      </c>
      <c r="D289" s="2">
        <f>IFERROR(__xludf.DUMMYFUNCTION("""COMPUTED_VALUE"""),192.0)</f>
        <v>192</v>
      </c>
      <c r="E289" s="2">
        <f>IFERROR(__xludf.DUMMYFUNCTION("""COMPUTED_VALUE"""),199.4)</f>
        <v>199.4</v>
      </c>
      <c r="F289" s="2">
        <f>IFERROR(__xludf.DUMMYFUNCTION("""COMPUTED_VALUE"""),1.11747116E8)</f>
        <v>111747116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IFERROR(__xludf.DUMMYFUNCTION("""COMPUTED_VALUE"""),204.04)</f>
        <v>204.04</v>
      </c>
      <c r="C290" s="2">
        <f>IFERROR(__xludf.DUMMYFUNCTION("""COMPUTED_VALUE"""),205.6)</f>
        <v>205.6</v>
      </c>
      <c r="D290" s="2">
        <f>IFERROR(__xludf.DUMMYFUNCTION("""COMPUTED_VALUE"""),198.26)</f>
        <v>198.26</v>
      </c>
      <c r="E290" s="2">
        <f>IFERROR(__xludf.DUMMYFUNCTION("""COMPUTED_VALUE"""),199.73)</f>
        <v>199.73</v>
      </c>
      <c r="F290" s="2">
        <f>IFERROR(__xludf.DUMMYFUNCTION("""COMPUTED_VALUE"""),1.08645412E8)</f>
        <v>108645412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IFERROR(__xludf.DUMMYFUNCTION("""COMPUTED_VALUE"""),200.42)</f>
        <v>200.42</v>
      </c>
      <c r="C291" s="2">
        <f>IFERROR(__xludf.DUMMYFUNCTION("""COMPUTED_VALUE"""),205.3)</f>
        <v>205.3</v>
      </c>
      <c r="D291" s="2">
        <f>IFERROR(__xludf.DUMMYFUNCTION("""COMPUTED_VALUE"""),198.44)</f>
        <v>198.44</v>
      </c>
      <c r="E291" s="2">
        <f>IFERROR(__xludf.DUMMYFUNCTION("""COMPUTED_VALUE"""),202.04)</f>
        <v>202.04</v>
      </c>
      <c r="F291" s="2">
        <f>IFERROR(__xludf.DUMMYFUNCTION("""COMPUTED_VALUE"""),9.9806173E7)</f>
        <v>99806173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IFERROR(__xludf.DUMMYFUNCTION("""COMPUTED_VALUE"""),204.18)</f>
        <v>204.18</v>
      </c>
      <c r="C292" s="2">
        <f>IFERROR(__xludf.DUMMYFUNCTION("""COMPUTED_VALUE"""),205.28)</f>
        <v>205.28</v>
      </c>
      <c r="D292" s="2">
        <f>IFERROR(__xludf.DUMMYFUNCTION("""COMPUTED_VALUE"""),198.45)</f>
        <v>198.45</v>
      </c>
      <c r="E292" s="2">
        <f>IFERROR(__xludf.DUMMYFUNCTION("""COMPUTED_VALUE"""),201.88)</f>
        <v>201.88</v>
      </c>
      <c r="F292" s="2">
        <f>IFERROR(__xludf.DUMMYFUNCTION("""COMPUTED_VALUE"""),8.5906974E7)</f>
        <v>85906974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IFERROR(__xludf.DUMMYFUNCTION("""COMPUTED_VALUE"""),200.52)</f>
        <v>200.52</v>
      </c>
      <c r="C293" s="2">
        <f>IFERROR(__xludf.DUMMYFUNCTION("""COMPUTED_VALUE"""),204.52)</f>
        <v>204.52</v>
      </c>
      <c r="D293" s="2">
        <f>IFERROR(__xludf.DUMMYFUNCTION("""COMPUTED_VALUE"""),198.5)</f>
        <v>198.5</v>
      </c>
      <c r="E293" s="2">
        <f>IFERROR(__xludf.DUMMYFUNCTION("""COMPUTED_VALUE"""),202.64)</f>
        <v>202.64</v>
      </c>
      <c r="F293" s="2">
        <f>IFERROR(__xludf.DUMMYFUNCTION("""COMPUTED_VALUE"""),8.2243119E7)</f>
        <v>82243119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IFERROR(__xludf.DUMMYFUNCTION("""COMPUTED_VALUE"""),198.73)</f>
        <v>198.73</v>
      </c>
      <c r="C294" s="2">
        <f>IFERROR(__xludf.DUMMYFUNCTION("""COMPUTED_VALUE"""),199.75)</f>
        <v>199.75</v>
      </c>
      <c r="D294" s="2">
        <f>IFERROR(__xludf.DUMMYFUNCTION("""COMPUTED_VALUE"""),186.72)</f>
        <v>186.72</v>
      </c>
      <c r="E294" s="2">
        <f>IFERROR(__xludf.DUMMYFUNCTION("""COMPUTED_VALUE"""),188.14)</f>
        <v>188.14</v>
      </c>
      <c r="F294" s="2">
        <f>IFERROR(__xludf.DUMMYFUNCTION("""COMPUTED_VALUE"""),1.34334869E8)</f>
        <v>134334869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IFERROR(__xludf.DUMMYFUNCTION("""COMPUTED_VALUE"""),183.05)</f>
        <v>183.05</v>
      </c>
      <c r="C295" s="2">
        <f>IFERROR(__xludf.DUMMYFUNCTION("""COMPUTED_VALUE"""),184.59)</f>
        <v>184.59</v>
      </c>
      <c r="D295" s="2">
        <f>IFERROR(__xludf.DUMMYFUNCTION("""COMPUTED_VALUE"""),177.57)</f>
        <v>177.57</v>
      </c>
      <c r="E295" s="2">
        <f>IFERROR(__xludf.DUMMYFUNCTION("""COMPUTED_VALUE"""),180.74)</f>
        <v>180.74</v>
      </c>
      <c r="F295" s="2">
        <f>IFERROR(__xludf.DUMMYFUNCTION("""COMPUTED_VALUE"""),1.19660758E8)</f>
        <v>119660758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IFERROR(__xludf.DUMMYFUNCTION("""COMPUTED_VALUE"""),179.99)</f>
        <v>179.99</v>
      </c>
      <c r="C296" s="2">
        <f>IFERROR(__xludf.DUMMYFUNCTION("""COMPUTED_VALUE"""),181.58)</f>
        <v>181.58</v>
      </c>
      <c r="D296" s="2">
        <f>IFERROR(__xludf.DUMMYFUNCTION("""COMPUTED_VALUE"""),173.7)</f>
        <v>173.7</v>
      </c>
      <c r="E296" s="2">
        <f>IFERROR(__xludf.DUMMYFUNCTION("""COMPUTED_VALUE"""),176.54)</f>
        <v>176.54</v>
      </c>
      <c r="F296" s="2">
        <f>IFERROR(__xludf.DUMMYFUNCTION("""COMPUTED_VALUE"""),1.07920944E8)</f>
        <v>107920944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IFERROR(__xludf.DUMMYFUNCTION("""COMPUTED_VALUE"""),174.35)</f>
        <v>174.35</v>
      </c>
      <c r="C297" s="2">
        <f>IFERROR(__xludf.DUMMYFUNCTION("""COMPUTED_VALUE"""),180.04)</f>
        <v>180.04</v>
      </c>
      <c r="D297" s="2">
        <f>IFERROR(__xludf.DUMMYFUNCTION("""COMPUTED_VALUE"""),173.7)</f>
        <v>173.7</v>
      </c>
      <c r="E297" s="2">
        <f>IFERROR(__xludf.DUMMYFUNCTION("""COMPUTED_VALUE"""),178.65)</f>
        <v>178.65</v>
      </c>
      <c r="F297" s="2">
        <f>IFERROR(__xludf.DUMMYFUNCTION("""COMPUTED_VALUE"""),1.02129004E8)</f>
        <v>102129004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IFERROR(__xludf.DUMMYFUNCTION("""COMPUTED_VALUE"""),181.5)</f>
        <v>181.5</v>
      </c>
      <c r="C298" s="2">
        <f>IFERROR(__xludf.DUMMYFUNCTION("""COMPUTED_VALUE"""),182.73)</f>
        <v>182.73</v>
      </c>
      <c r="D298" s="2">
        <f>IFERROR(__xludf.DUMMYFUNCTION("""COMPUTED_VALUE"""),174.7)</f>
        <v>174.7</v>
      </c>
      <c r="E298" s="2">
        <f>IFERROR(__xludf.DUMMYFUNCTION("""COMPUTED_VALUE"""),175.34)</f>
        <v>175.34</v>
      </c>
      <c r="F298" s="2">
        <f>IFERROR(__xludf.DUMMYFUNCTION("""COMPUTED_VALUE"""),8.5544644E7)</f>
        <v>85544644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IFERROR(__xludf.DUMMYFUNCTION("""COMPUTED_VALUE"""),175.45)</f>
        <v>175.45</v>
      </c>
      <c r="C299" s="2">
        <f>IFERROR(__xludf.DUMMYFUNCTION("""COMPUTED_VALUE"""),182.87)</f>
        <v>182.87</v>
      </c>
      <c r="D299" s="2">
        <f>IFERROR(__xludf.DUMMYFUNCTION("""COMPUTED_VALUE"""),174.8)</f>
        <v>174.8</v>
      </c>
      <c r="E299" s="2">
        <f>IFERROR(__xludf.DUMMYFUNCTION("""COMPUTED_VALUE"""),177.77)</f>
        <v>177.77</v>
      </c>
      <c r="F299" s="2">
        <f>IFERROR(__xludf.DUMMYFUNCTION("""COMPUTED_VALUE"""),8.5391528E7)</f>
        <v>85391528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IFERROR(__xludf.DUMMYFUNCTION("""COMPUTED_VALUE"""),177.77)</f>
        <v>177.77</v>
      </c>
      <c r="C300" s="2">
        <f>IFERROR(__xludf.DUMMYFUNCTION("""COMPUTED_VALUE"""),179.43)</f>
        <v>179.43</v>
      </c>
      <c r="D300" s="2">
        <f>IFERROR(__xludf.DUMMYFUNCTION("""COMPUTED_VALUE"""),172.41)</f>
        <v>172.41</v>
      </c>
      <c r="E300" s="2">
        <f>IFERROR(__xludf.DUMMYFUNCTION("""COMPUTED_VALUE"""),177.54)</f>
        <v>177.54</v>
      </c>
      <c r="F300" s="2">
        <f>IFERROR(__xludf.DUMMYFUNCTION("""COMPUTED_VALUE"""),8.7391684E7)</f>
        <v>87391684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IFERROR(__xludf.DUMMYFUNCTION("""COMPUTED_VALUE"""),173.05)</f>
        <v>173.05</v>
      </c>
      <c r="C301" s="2">
        <f>IFERROR(__xludf.DUMMYFUNCTION("""COMPUTED_VALUE"""),176.05)</f>
        <v>176.05</v>
      </c>
      <c r="D301" s="2">
        <f>IFERROR(__xludf.DUMMYFUNCTION("""COMPUTED_VALUE"""),169.15)</f>
        <v>169.15</v>
      </c>
      <c r="E301" s="2">
        <f>IFERROR(__xludf.DUMMYFUNCTION("""COMPUTED_VALUE"""),169.48)</f>
        <v>169.48</v>
      </c>
      <c r="F301" s="2">
        <f>IFERROR(__xludf.DUMMYFUNCTION("""COMPUTED_VALUE"""),1.06524518E8)</f>
        <v>106524518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IFERROR(__xludf.DUMMYFUNCTION("""COMPUTED_VALUE"""),167.77)</f>
        <v>167.77</v>
      </c>
      <c r="C302" s="2">
        <f>IFERROR(__xludf.DUMMYFUNCTION("""COMPUTED_VALUE"""),171.17)</f>
        <v>171.17</v>
      </c>
      <c r="D302" s="2">
        <f>IFERROR(__xludf.DUMMYFUNCTION("""COMPUTED_VALUE"""),160.51)</f>
        <v>160.51</v>
      </c>
      <c r="E302" s="2">
        <f>IFERROR(__xludf.DUMMYFUNCTION("""COMPUTED_VALUE"""),162.5)</f>
        <v>162.5</v>
      </c>
      <c r="F302" s="2">
        <f>IFERROR(__xludf.DUMMYFUNCTION("""COMPUTED_VALUE"""),1.26325696E8)</f>
        <v>126325696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IFERROR(__xludf.DUMMYFUNCTION("""COMPUTED_VALUE"""),163.16)</f>
        <v>163.16</v>
      </c>
      <c r="C303" s="2">
        <f>IFERROR(__xludf.DUMMYFUNCTION("""COMPUTED_VALUE"""),165.18)</f>
        <v>165.18</v>
      </c>
      <c r="D303" s="2">
        <f>IFERROR(__xludf.DUMMYFUNCTION("""COMPUTED_VALUE"""),160.76)</f>
        <v>160.76</v>
      </c>
      <c r="E303" s="2">
        <f>IFERROR(__xludf.DUMMYFUNCTION("""COMPUTED_VALUE"""),163.57)</f>
        <v>163.57</v>
      </c>
      <c r="F303" s="2">
        <f>IFERROR(__xludf.DUMMYFUNCTION("""COMPUTED_VALUE"""),9.7146832E7)</f>
        <v>97146832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IFERROR(__xludf.DUMMYFUNCTION("""COMPUTED_VALUE"""),170.02)</f>
        <v>170.02</v>
      </c>
      <c r="C304" s="2">
        <f>IFERROR(__xludf.DUMMYFUNCTION("""COMPUTED_VALUE"""),174.72)</f>
        <v>174.72</v>
      </c>
      <c r="D304" s="2">
        <f>IFERROR(__xludf.DUMMYFUNCTION("""COMPUTED_VALUE"""),165.9)</f>
        <v>165.9</v>
      </c>
      <c r="E304" s="2">
        <f>IFERROR(__xludf.DUMMYFUNCTION("""COMPUTED_VALUE"""),173.8)</f>
        <v>173.8</v>
      </c>
      <c r="F304" s="2">
        <f>IFERROR(__xludf.DUMMYFUNCTION("""COMPUTED_VALUE"""),1.08214358E8)</f>
        <v>108214358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IFERROR(__xludf.DUMMYFUNCTION("""COMPUTED_VALUE"""),172.36)</f>
        <v>172.36</v>
      </c>
      <c r="C305" s="2">
        <f>IFERROR(__xludf.DUMMYFUNCTION("""COMPUTED_VALUE"""),172.82)</f>
        <v>172.82</v>
      </c>
      <c r="D305" s="2">
        <f>IFERROR(__xludf.DUMMYFUNCTION("""COMPUTED_VALUE"""),167.42)</f>
        <v>167.42</v>
      </c>
      <c r="E305" s="2">
        <f>IFERROR(__xludf.DUMMYFUNCTION("""COMPUTED_VALUE"""),171.32)</f>
        <v>171.32</v>
      </c>
      <c r="F305" s="2">
        <f>IFERROR(__xludf.DUMMYFUNCTION("""COMPUTED_VALUE"""),7.7271428E7)</f>
        <v>77271428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IFERROR(__xludf.DUMMYFUNCTION("""COMPUTED_VALUE"""),173.0)</f>
        <v>173</v>
      </c>
      <c r="C306" s="2">
        <f>IFERROR(__xludf.DUMMYFUNCTION("""COMPUTED_VALUE"""),176.25)</f>
        <v>176.25</v>
      </c>
      <c r="D306" s="2">
        <f>IFERROR(__xludf.DUMMYFUNCTION("""COMPUTED_VALUE"""),170.82)</f>
        <v>170.82</v>
      </c>
      <c r="E306" s="2">
        <f>IFERROR(__xludf.DUMMYFUNCTION("""COMPUTED_VALUE"""),175.66)</f>
        <v>175.66</v>
      </c>
      <c r="F306" s="2">
        <f>IFERROR(__xludf.DUMMYFUNCTION("""COMPUTED_VALUE"""),8.3846726E7)</f>
        <v>83846726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IFERROR(__xludf.DUMMYFUNCTION("""COMPUTED_VALUE"""),176.39)</f>
        <v>176.39</v>
      </c>
      <c r="C307" s="2">
        <f>IFERROR(__xludf.DUMMYFUNCTION("""COMPUTED_VALUE"""),178.18)</f>
        <v>178.18</v>
      </c>
      <c r="D307" s="2">
        <f>IFERROR(__xludf.DUMMYFUNCTION("""COMPUTED_VALUE"""),171.8)</f>
        <v>171.8</v>
      </c>
      <c r="E307" s="2">
        <f>IFERROR(__xludf.DUMMYFUNCTION("""COMPUTED_VALUE"""),172.82)</f>
        <v>172.82</v>
      </c>
      <c r="F307" s="2">
        <f>IFERROR(__xludf.DUMMYFUNCTION("""COMPUTED_VALUE"""),7.3178014E7)</f>
        <v>73178014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IFERROR(__xludf.DUMMYFUNCTION("""COMPUTED_VALUE"""),166.69)</f>
        <v>166.69</v>
      </c>
      <c r="C308" s="2">
        <f>IFERROR(__xludf.DUMMYFUNCTION("""COMPUTED_VALUE"""),171.2)</f>
        <v>171.2</v>
      </c>
      <c r="D308" s="2">
        <f>IFERROR(__xludf.DUMMYFUNCTION("""COMPUTED_VALUE"""),166.3)</f>
        <v>166.3</v>
      </c>
      <c r="E308" s="2">
        <f>IFERROR(__xludf.DUMMYFUNCTION("""COMPUTED_VALUE"""),170.83)</f>
        <v>170.83</v>
      </c>
      <c r="F308" s="2">
        <f>IFERROR(__xludf.DUMMYFUNCTION("""COMPUTED_VALUE"""),7.5580637E7)</f>
        <v>75580637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IFERROR(__xludf.DUMMYFUNCTION("""COMPUTED_VALUE"""),168.76)</f>
        <v>168.76</v>
      </c>
      <c r="C309" s="2">
        <f>IFERROR(__xludf.DUMMYFUNCTION("""COMPUTED_VALUE"""),175.24)</f>
        <v>175.24</v>
      </c>
      <c r="D309" s="2">
        <f>IFERROR(__xludf.DUMMYFUNCTION("""COMPUTED_VALUE"""),168.73)</f>
        <v>168.73</v>
      </c>
      <c r="E309" s="2">
        <f>IFERROR(__xludf.DUMMYFUNCTION("""COMPUTED_VALUE"""),172.63)</f>
        <v>172.63</v>
      </c>
      <c r="F309" s="2">
        <f>IFERROR(__xludf.DUMMYFUNCTION("""COMPUTED_VALUE"""),7.4228615E7)</f>
        <v>74228615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IFERROR(__xludf.DUMMYFUNCTION("""COMPUTED_VALUE"""),178.58)</f>
        <v>178.58</v>
      </c>
      <c r="C310" s="2">
        <f>IFERROR(__xludf.DUMMYFUNCTION("""COMPUTED_VALUE"""),184.25)</f>
        <v>184.25</v>
      </c>
      <c r="D310" s="2">
        <f>IFERROR(__xludf.DUMMYFUNCTION("""COMPUTED_VALUE"""),177.38)</f>
        <v>177.38</v>
      </c>
      <c r="E310" s="2">
        <f>IFERROR(__xludf.DUMMYFUNCTION("""COMPUTED_VALUE"""),177.67)</f>
        <v>177.67</v>
      </c>
      <c r="F310" s="2">
        <f>IFERROR(__xludf.DUMMYFUNCTION("""COMPUTED_VALUE"""),1.13186227E8)</f>
        <v>113186227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IFERROR(__xludf.DUMMYFUNCTION("""COMPUTED_VALUE"""),181.41)</f>
        <v>181.41</v>
      </c>
      <c r="C311" s="2">
        <f>IFERROR(__xludf.DUMMYFUNCTION("""COMPUTED_VALUE"""),181.91)</f>
        <v>181.91</v>
      </c>
      <c r="D311" s="2">
        <f>IFERROR(__xludf.DUMMYFUNCTION("""COMPUTED_VALUE"""),176.0)</f>
        <v>176</v>
      </c>
      <c r="E311" s="2">
        <f>IFERROR(__xludf.DUMMYFUNCTION("""COMPUTED_VALUE"""),179.83)</f>
        <v>179.83</v>
      </c>
      <c r="F311" s="2">
        <f>IFERROR(__xludf.DUMMYFUNCTION("""COMPUTED_VALUE"""),8.1804043E7)</f>
        <v>81804043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IFERROR(__xludf.DUMMYFUNCTION("""COMPUTED_VALUE"""),177.45)</f>
        <v>177.45</v>
      </c>
      <c r="C312" s="2">
        <f>IFERROR(__xludf.DUMMYFUNCTION("""COMPUTED_VALUE"""),179.57)</f>
        <v>179.57</v>
      </c>
      <c r="D312" s="2">
        <f>IFERROR(__xludf.DUMMYFUNCTION("""COMPUTED_VALUE"""),175.3)</f>
        <v>175.3</v>
      </c>
      <c r="E312" s="2">
        <f>IFERROR(__xludf.DUMMYFUNCTION("""COMPUTED_VALUE"""),175.79)</f>
        <v>175.79</v>
      </c>
      <c r="F312" s="2">
        <f>IFERROR(__xludf.DUMMYFUNCTION("""COMPUTED_VALUE"""),7.7654838E7)</f>
        <v>77654838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IFERROR(__xludf.DUMMYFUNCTION("""COMPUTED_VALUE"""),176.17)</f>
        <v>176.17</v>
      </c>
      <c r="C313" s="2">
        <f>IFERROR(__xludf.DUMMYFUNCTION("""COMPUTED_VALUE"""),176.75)</f>
        <v>176.75</v>
      </c>
      <c r="D313" s="2">
        <f>IFERROR(__xludf.DUMMYFUNCTION("""COMPUTED_VALUE"""),170.21)</f>
        <v>170.21</v>
      </c>
      <c r="E313" s="2">
        <f>IFERROR(__xludf.DUMMYFUNCTION("""COMPUTED_VALUE"""),175.22)</f>
        <v>175.22</v>
      </c>
      <c r="F313" s="2">
        <f>IFERROR(__xludf.DUMMYFUNCTION("""COMPUTED_VALUE"""),8.1562127E7)</f>
        <v>81562127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IFERROR(__xludf.DUMMYFUNCTION("""COMPUTED_VALUE"""),164.75)</f>
        <v>164.75</v>
      </c>
      <c r="C314" s="2">
        <f>IFERROR(__xludf.DUMMYFUNCTION("""COMPUTED_VALUE"""),167.69)</f>
        <v>167.69</v>
      </c>
      <c r="D314" s="2">
        <f>IFERROR(__xludf.DUMMYFUNCTION("""COMPUTED_VALUE"""),163.43)</f>
        <v>163.43</v>
      </c>
      <c r="E314" s="2">
        <f>IFERROR(__xludf.DUMMYFUNCTION("""COMPUTED_VALUE"""),166.63)</f>
        <v>166.63</v>
      </c>
      <c r="F314" s="2">
        <f>IFERROR(__xludf.DUMMYFUNCTION("""COMPUTED_VALUE"""),1.16650594E8)</f>
        <v>116650594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IFERROR(__xludf.DUMMYFUNCTION("""COMPUTED_VALUE"""),164.02)</f>
        <v>164.02</v>
      </c>
      <c r="C315" s="2">
        <f>IFERROR(__xludf.DUMMYFUNCTION("""COMPUTED_VALUE"""),168.82)</f>
        <v>168.82</v>
      </c>
      <c r="D315" s="2">
        <f>IFERROR(__xludf.DUMMYFUNCTION("""COMPUTED_VALUE"""),163.28)</f>
        <v>163.28</v>
      </c>
      <c r="E315" s="2">
        <f>IFERROR(__xludf.DUMMYFUNCTION("""COMPUTED_VALUE"""),168.38)</f>
        <v>168.38</v>
      </c>
      <c r="F315" s="2">
        <f>IFERROR(__xludf.DUMMYFUNCTION("""COMPUTED_VALUE"""),8.2950141E7)</f>
        <v>82950141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IFERROR(__xludf.DUMMYFUNCTION("""COMPUTED_VALUE"""),170.07)</f>
        <v>170.07</v>
      </c>
      <c r="C316" s="2">
        <f>IFERROR(__xludf.DUMMYFUNCTION("""COMPUTED_VALUE"""),177.19)</f>
        <v>177.19</v>
      </c>
      <c r="D316" s="2">
        <f>IFERROR(__xludf.DUMMYFUNCTION("""COMPUTED_VALUE"""),168.01)</f>
        <v>168.01</v>
      </c>
      <c r="E316" s="2">
        <f>IFERROR(__xludf.DUMMYFUNCTION("""COMPUTED_VALUE"""),171.11)</f>
        <v>171.11</v>
      </c>
      <c r="F316" s="2">
        <f>IFERROR(__xludf.DUMMYFUNCTION("""COMPUTED_VALUE"""),1.2316196E8)</f>
        <v>123161960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IFERROR(__xludf.DUMMYFUNCTION("""COMPUTED_VALUE"""),169.08)</f>
        <v>169.08</v>
      </c>
      <c r="C317" s="2">
        <f>IFERROR(__xludf.DUMMYFUNCTION("""COMPUTED_VALUE"""),170.86)</f>
        <v>170.86</v>
      </c>
      <c r="D317" s="2">
        <f>IFERROR(__xludf.DUMMYFUNCTION("""COMPUTED_VALUE"""),160.51)</f>
        <v>160.51</v>
      </c>
      <c r="E317" s="2">
        <f>IFERROR(__xludf.DUMMYFUNCTION("""COMPUTED_VALUE"""),164.9)</f>
        <v>164.9</v>
      </c>
      <c r="F317" s="2">
        <f>IFERROR(__xludf.DUMMYFUNCTION("""COMPUTED_VALUE"""),1.43157603E8)</f>
        <v>143157603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IFERROR(__xludf.DUMMYFUNCTION("""COMPUTED_VALUE"""),169.34)</f>
        <v>169.34</v>
      </c>
      <c r="C318" s="2">
        <f>IFERROR(__xludf.DUMMYFUNCTION("""COMPUTED_VALUE"""),174.5)</f>
        <v>174.5</v>
      </c>
      <c r="D318" s="2">
        <f>IFERROR(__xludf.DUMMYFUNCTION("""COMPUTED_VALUE"""),167.79)</f>
        <v>167.79</v>
      </c>
      <c r="E318" s="2">
        <f>IFERROR(__xludf.DUMMYFUNCTION("""COMPUTED_VALUE"""),172.98)</f>
        <v>172.98</v>
      </c>
      <c r="F318" s="2">
        <f>IFERROR(__xludf.DUMMYFUNCTION("""COMPUTED_VALUE"""),1.0442332E8)</f>
        <v>104423320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IFERROR(__xludf.DUMMYFUNCTION("""COMPUTED_VALUE"""),172.91)</f>
        <v>172.91</v>
      </c>
      <c r="C319" s="2">
        <f>IFERROR(__xludf.DUMMYFUNCTION("""COMPUTED_VALUE"""),179.22)</f>
        <v>179.22</v>
      </c>
      <c r="D319" s="2">
        <f>IFERROR(__xludf.DUMMYFUNCTION("""COMPUTED_VALUE"""),171.92)</f>
        <v>171.92</v>
      </c>
      <c r="E319" s="2">
        <f>IFERROR(__xludf.DUMMYFUNCTION("""COMPUTED_VALUE"""),176.88)</f>
        <v>176.88</v>
      </c>
      <c r="F319" s="2">
        <f>IFERROR(__xludf.DUMMYFUNCTION("""COMPUTED_VALUE"""),1.03232675E8)</f>
        <v>103232675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IFERROR(__xludf.DUMMYFUNCTION("""COMPUTED_VALUE"""),173.04)</f>
        <v>173.04</v>
      </c>
      <c r="C320" s="2">
        <f>IFERROR(__xludf.DUMMYFUNCTION("""COMPUTED_VALUE"""),174.93)</f>
        <v>174.93</v>
      </c>
      <c r="D320" s="2">
        <f>IFERROR(__xludf.DUMMYFUNCTION("""COMPUTED_VALUE"""),170.01)</f>
        <v>170.01</v>
      </c>
      <c r="E320" s="2">
        <f>IFERROR(__xludf.DUMMYFUNCTION("""COMPUTED_VALUE"""),171.76)</f>
        <v>171.76</v>
      </c>
      <c r="F320" s="2">
        <f>IFERROR(__xludf.DUMMYFUNCTION("""COMPUTED_VALUE"""),8.4532407E7)</f>
        <v>84532407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IFERROR(__xludf.DUMMYFUNCTION("""COMPUTED_VALUE"""),172.55)</f>
        <v>172.55</v>
      </c>
      <c r="C321" s="2">
        <f>IFERROR(__xludf.DUMMYFUNCTION("""COMPUTED_VALUE"""),175.88)</f>
        <v>175.88</v>
      </c>
      <c r="D321" s="2">
        <f>IFERROR(__xludf.DUMMYFUNCTION("""COMPUTED_VALUE"""),168.51)</f>
        <v>168.51</v>
      </c>
      <c r="E321" s="2">
        <f>IFERROR(__xludf.DUMMYFUNCTION("""COMPUTED_VALUE"""),174.6)</f>
        <v>174.6</v>
      </c>
      <c r="F321" s="2">
        <f>IFERROR(__xludf.DUMMYFUNCTION("""COMPUTED_VALUE"""),9.4515987E7)</f>
        <v>94515987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IFERROR(__xludf.DUMMYFUNCTION("""COMPUTED_VALUE"""),172.34)</f>
        <v>172.34</v>
      </c>
      <c r="C322" s="2">
        <f>IFERROR(__xludf.DUMMYFUNCTION("""COMPUTED_VALUE"""),173.81)</f>
        <v>173.81</v>
      </c>
      <c r="D322" s="2">
        <f>IFERROR(__xludf.DUMMYFUNCTION("""COMPUTED_VALUE"""),170.36)</f>
        <v>170.36</v>
      </c>
      <c r="E322" s="2">
        <f>IFERROR(__xludf.DUMMYFUNCTION("""COMPUTED_VALUE"""),171.05)</f>
        <v>171.05</v>
      </c>
      <c r="F322" s="2">
        <f>IFERROR(__xludf.DUMMYFUNCTION("""COMPUTED_VALUE"""),6.4722669E7)</f>
        <v>64722669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IFERROR(__xludf.DUMMYFUNCTION("""COMPUTED_VALUE"""),170.24)</f>
        <v>170.24</v>
      </c>
      <c r="C323" s="2">
        <f>IFERROR(__xludf.DUMMYFUNCTION("""COMPUTED_VALUE"""),170.69)</f>
        <v>170.69</v>
      </c>
      <c r="D323" s="2">
        <f>IFERROR(__xludf.DUMMYFUNCTION("""COMPUTED_VALUE"""),161.38)</f>
        <v>161.38</v>
      </c>
      <c r="E323" s="2">
        <f>IFERROR(__xludf.DUMMYFUNCTION("""COMPUTED_VALUE"""),161.48)</f>
        <v>161.48</v>
      </c>
      <c r="F323" s="2">
        <f>IFERROR(__xludf.DUMMYFUNCTION("""COMPUTED_VALUE"""),1.0024531E8)</f>
        <v>100245310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IFERROR(__xludf.DUMMYFUNCTION("""COMPUTED_VALUE"""),156.74)</f>
        <v>156.74</v>
      </c>
      <c r="C324" s="2">
        <f>IFERROR(__xludf.DUMMYFUNCTION("""COMPUTED_VALUE"""),158.19)</f>
        <v>158.19</v>
      </c>
      <c r="D324" s="2">
        <f>IFERROR(__xludf.DUMMYFUNCTION("""COMPUTED_VALUE"""),153.75)</f>
        <v>153.75</v>
      </c>
      <c r="E324" s="2">
        <f>IFERROR(__xludf.DUMMYFUNCTION("""COMPUTED_VALUE"""),157.11)</f>
        <v>157.11</v>
      </c>
      <c r="F324" s="2">
        <f>IFERROR(__xludf.DUMMYFUNCTION("""COMPUTED_VALUE"""),9.6999956E7)</f>
        <v>96999956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IFERROR(__xludf.DUMMYFUNCTION("""COMPUTED_VALUE"""),157.64)</f>
        <v>157.64</v>
      </c>
      <c r="C325" s="2">
        <f>IFERROR(__xludf.DUMMYFUNCTION("""COMPUTED_VALUE"""),158.33)</f>
        <v>158.33</v>
      </c>
      <c r="D325" s="2">
        <f>IFERROR(__xludf.DUMMYFUNCTION("""COMPUTED_VALUE"""),153.78)</f>
        <v>153.78</v>
      </c>
      <c r="E325" s="2">
        <f>IFERROR(__xludf.DUMMYFUNCTION("""COMPUTED_VALUE"""),155.45)</f>
        <v>155.45</v>
      </c>
      <c r="F325" s="2">
        <f>IFERROR(__xludf.DUMMYFUNCTION("""COMPUTED_VALUE"""),8.2439718E7)</f>
        <v>82439718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IFERROR(__xludf.DUMMYFUNCTION("""COMPUTED_VALUE"""),151.25)</f>
        <v>151.25</v>
      </c>
      <c r="C326" s="2">
        <f>IFERROR(__xludf.DUMMYFUNCTION("""COMPUTED_VALUE"""),152.2)</f>
        <v>152.2</v>
      </c>
      <c r="D326" s="2">
        <f>IFERROR(__xludf.DUMMYFUNCTION("""COMPUTED_VALUE"""),148.7)</f>
        <v>148.7</v>
      </c>
      <c r="E326" s="2">
        <f>IFERROR(__xludf.DUMMYFUNCTION("""COMPUTED_VALUE"""),149.93)</f>
        <v>149.93</v>
      </c>
      <c r="F326" s="2">
        <f>IFERROR(__xludf.DUMMYFUNCTION("""COMPUTED_VALUE"""),9.609883E7)</f>
        <v>96098830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IFERROR(__xludf.DUMMYFUNCTION("""COMPUTED_VALUE"""),148.97)</f>
        <v>148.97</v>
      </c>
      <c r="C327" s="2">
        <f>IFERROR(__xludf.DUMMYFUNCTION("""COMPUTED_VALUE"""),150.94)</f>
        <v>150.94</v>
      </c>
      <c r="D327" s="2">
        <f>IFERROR(__xludf.DUMMYFUNCTION("""COMPUTED_VALUE"""),146.22)</f>
        <v>146.22</v>
      </c>
      <c r="E327" s="2">
        <f>IFERROR(__xludf.DUMMYFUNCTION("""COMPUTED_VALUE"""),147.05)</f>
        <v>147.05</v>
      </c>
      <c r="F327" s="2">
        <f>IFERROR(__xludf.DUMMYFUNCTION("""COMPUTED_VALUE"""),8.70745E7)</f>
        <v>87074500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IFERROR(__xludf.DUMMYFUNCTION("""COMPUTED_VALUE"""),140.56)</f>
        <v>140.56</v>
      </c>
      <c r="C328" s="2">
        <f>IFERROR(__xludf.DUMMYFUNCTION("""COMPUTED_VALUE"""),144.44)</f>
        <v>144.44</v>
      </c>
      <c r="D328" s="2">
        <f>IFERROR(__xludf.DUMMYFUNCTION("""COMPUTED_VALUE"""),138.8)</f>
        <v>138.8</v>
      </c>
      <c r="E328" s="2">
        <f>IFERROR(__xludf.DUMMYFUNCTION("""COMPUTED_VALUE"""),142.05)</f>
        <v>142.05</v>
      </c>
      <c r="F328" s="2">
        <f>IFERROR(__xludf.DUMMYFUNCTION("""COMPUTED_VALUE"""),1.07097564E8)</f>
        <v>107097564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IFERROR(__xludf.DUMMYFUNCTION("""COMPUTED_VALUE"""),143.33)</f>
        <v>143.33</v>
      </c>
      <c r="C329" s="2">
        <f>IFERROR(__xludf.DUMMYFUNCTION("""COMPUTED_VALUE"""),147.26)</f>
        <v>147.26</v>
      </c>
      <c r="D329" s="2">
        <f>IFERROR(__xludf.DUMMYFUNCTION("""COMPUTED_VALUE"""),141.11)</f>
        <v>141.11</v>
      </c>
      <c r="E329" s="2">
        <f>IFERROR(__xludf.DUMMYFUNCTION("""COMPUTED_VALUE"""),144.68)</f>
        <v>144.68</v>
      </c>
      <c r="F329" s="2">
        <f>IFERROR(__xludf.DUMMYFUNCTION("""COMPUTED_VALUE"""),1.24545104E8)</f>
        <v>124545104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IFERROR(__xludf.DUMMYFUNCTION("""COMPUTED_VALUE"""),162.84)</f>
        <v>162.84</v>
      </c>
      <c r="C330" s="2">
        <f>IFERROR(__xludf.DUMMYFUNCTION("""COMPUTED_VALUE"""),167.97)</f>
        <v>167.97</v>
      </c>
      <c r="D330" s="2">
        <f>IFERROR(__xludf.DUMMYFUNCTION("""COMPUTED_VALUE"""),157.51)</f>
        <v>157.51</v>
      </c>
      <c r="E330" s="2">
        <f>IFERROR(__xludf.DUMMYFUNCTION("""COMPUTED_VALUE"""),162.13)</f>
        <v>162.13</v>
      </c>
      <c r="F330" s="2">
        <f>IFERROR(__xludf.DUMMYFUNCTION("""COMPUTED_VALUE"""),1.8117802E8)</f>
        <v>181178020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IFERROR(__xludf.DUMMYFUNCTION("""COMPUTED_VALUE"""),158.96)</f>
        <v>158.96</v>
      </c>
      <c r="C331" s="2">
        <f>IFERROR(__xludf.DUMMYFUNCTION("""COMPUTED_VALUE"""),170.88)</f>
        <v>170.88</v>
      </c>
      <c r="D331" s="2">
        <f>IFERROR(__xludf.DUMMYFUNCTION("""COMPUTED_VALUE"""),158.36)</f>
        <v>158.36</v>
      </c>
      <c r="E331" s="2">
        <f>IFERROR(__xludf.DUMMYFUNCTION("""COMPUTED_VALUE"""),170.18)</f>
        <v>170.18</v>
      </c>
      <c r="F331" s="2">
        <f>IFERROR(__xludf.DUMMYFUNCTION("""COMPUTED_VALUE"""),1.26427521E8)</f>
        <v>126427521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IFERROR(__xludf.DUMMYFUNCTION("""COMPUTED_VALUE"""),168.85)</f>
        <v>168.85</v>
      </c>
      <c r="C332" s="2">
        <f>IFERROR(__xludf.DUMMYFUNCTION("""COMPUTED_VALUE"""),172.12)</f>
        <v>172.12</v>
      </c>
      <c r="D332" s="2">
        <f>IFERROR(__xludf.DUMMYFUNCTION("""COMPUTED_VALUE"""),166.37)</f>
        <v>166.37</v>
      </c>
      <c r="E332" s="2">
        <f>IFERROR(__xludf.DUMMYFUNCTION("""COMPUTED_VALUE"""),168.29)</f>
        <v>168.29</v>
      </c>
      <c r="F332" s="2">
        <f>IFERROR(__xludf.DUMMYFUNCTION("""COMPUTED_VALUE"""),1.09815725E8)</f>
        <v>109815725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IFERROR(__xludf.DUMMYFUNCTION("""COMPUTED_VALUE"""),188.42)</f>
        <v>188.42</v>
      </c>
      <c r="C333" s="2">
        <f>IFERROR(__xludf.DUMMYFUNCTION("""COMPUTED_VALUE"""),198.87)</f>
        <v>198.87</v>
      </c>
      <c r="D333" s="2">
        <f>IFERROR(__xludf.DUMMYFUNCTION("""COMPUTED_VALUE"""),184.54)</f>
        <v>184.54</v>
      </c>
      <c r="E333" s="2">
        <f>IFERROR(__xludf.DUMMYFUNCTION("""COMPUTED_VALUE"""),194.05)</f>
        <v>194.05</v>
      </c>
      <c r="F333" s="2">
        <f>IFERROR(__xludf.DUMMYFUNCTION("""COMPUTED_VALUE"""),2.43869678E8)</f>
        <v>243869678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IFERROR(__xludf.DUMMYFUNCTION("""COMPUTED_VALUE"""),186.98)</f>
        <v>186.98</v>
      </c>
      <c r="C334" s="2">
        <f>IFERROR(__xludf.DUMMYFUNCTION("""COMPUTED_VALUE"""),190.95)</f>
        <v>190.95</v>
      </c>
      <c r="D334" s="2">
        <f>IFERROR(__xludf.DUMMYFUNCTION("""COMPUTED_VALUE"""),182.84)</f>
        <v>182.84</v>
      </c>
      <c r="E334" s="2">
        <f>IFERROR(__xludf.DUMMYFUNCTION("""COMPUTED_VALUE"""),183.28)</f>
        <v>183.28</v>
      </c>
      <c r="F334" s="2">
        <f>IFERROR(__xludf.DUMMYFUNCTION("""COMPUTED_VALUE"""),1.27031787E8)</f>
        <v>127031787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IFERROR(__xludf.DUMMYFUNCTION("""COMPUTED_VALUE"""),182.0)</f>
        <v>182</v>
      </c>
      <c r="C335" s="2">
        <f>IFERROR(__xludf.DUMMYFUNCTION("""COMPUTED_VALUE"""),185.86)</f>
        <v>185.86</v>
      </c>
      <c r="D335" s="2">
        <f>IFERROR(__xludf.DUMMYFUNCTION("""COMPUTED_VALUE"""),179.01)</f>
        <v>179.01</v>
      </c>
      <c r="E335" s="2">
        <f>IFERROR(__xludf.DUMMYFUNCTION("""COMPUTED_VALUE"""),179.99)</f>
        <v>179.99</v>
      </c>
      <c r="F335" s="2">
        <f>IFERROR(__xludf.DUMMYFUNCTION("""COMPUTED_VALUE"""),9.2829719E7)</f>
        <v>92829719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IFERROR(__xludf.DUMMYFUNCTION("""COMPUTED_VALUE"""),182.86)</f>
        <v>182.86</v>
      </c>
      <c r="C336" s="2">
        <f>IFERROR(__xludf.DUMMYFUNCTION("""COMPUTED_VALUE"""),184.6)</f>
        <v>184.6</v>
      </c>
      <c r="D336" s="2">
        <f>IFERROR(__xludf.DUMMYFUNCTION("""COMPUTED_VALUE"""),176.02)</f>
        <v>176.02</v>
      </c>
      <c r="E336" s="2">
        <f>IFERROR(__xludf.DUMMYFUNCTION("""COMPUTED_VALUE"""),180.01)</f>
        <v>180.01</v>
      </c>
      <c r="F336" s="2">
        <f>IFERROR(__xludf.DUMMYFUNCTION("""COMPUTED_VALUE"""),8.9148041E7)</f>
        <v>89148041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IFERROR(__xludf.DUMMYFUNCTION("""COMPUTED_VALUE"""),182.1)</f>
        <v>182.1</v>
      </c>
      <c r="C337" s="2">
        <f>IFERROR(__xludf.DUMMYFUNCTION("""COMPUTED_VALUE"""),184.78)</f>
        <v>184.78</v>
      </c>
      <c r="D337" s="2">
        <f>IFERROR(__xludf.DUMMYFUNCTION("""COMPUTED_VALUE"""),178.42)</f>
        <v>178.42</v>
      </c>
      <c r="E337" s="2">
        <f>IFERROR(__xludf.DUMMYFUNCTION("""COMPUTED_VALUE"""),181.19)</f>
        <v>181.19</v>
      </c>
      <c r="F337" s="2">
        <f>IFERROR(__xludf.DUMMYFUNCTION("""COMPUTED_VALUE"""),7.5491539E7)</f>
        <v>75491539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IFERROR(__xludf.DUMMYFUNCTION("""COMPUTED_VALUE"""),183.8)</f>
        <v>183.8</v>
      </c>
      <c r="C338" s="2">
        <f>IFERROR(__xludf.DUMMYFUNCTION("""COMPUTED_VALUE"""),187.56)</f>
        <v>187.56</v>
      </c>
      <c r="D338" s="2">
        <f>IFERROR(__xludf.DUMMYFUNCTION("""COMPUTED_VALUE"""),182.2)</f>
        <v>182.2</v>
      </c>
      <c r="E338" s="2">
        <f>IFERROR(__xludf.DUMMYFUNCTION("""COMPUTED_VALUE"""),184.76)</f>
        <v>184.76</v>
      </c>
      <c r="F338" s="2">
        <f>IFERROR(__xludf.DUMMYFUNCTION("""COMPUTED_VALUE"""),8.4390253E7)</f>
        <v>84390253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IFERROR(__xludf.DUMMYFUNCTION("""COMPUTED_VALUE"""),182.4)</f>
        <v>182.4</v>
      </c>
      <c r="C339" s="2">
        <f>IFERROR(__xludf.DUMMYFUNCTION("""COMPUTED_VALUE"""),183.26)</f>
        <v>183.26</v>
      </c>
      <c r="D339" s="2">
        <f>IFERROR(__xludf.DUMMYFUNCTION("""COMPUTED_VALUE"""),177.4)</f>
        <v>177.4</v>
      </c>
      <c r="E339" s="2">
        <f>IFERROR(__xludf.DUMMYFUNCTION("""COMPUTED_VALUE"""),177.81)</f>
        <v>177.81</v>
      </c>
      <c r="F339" s="2">
        <f>IFERROR(__xludf.DUMMYFUNCTION("""COMPUTED_VALUE"""),7.5045854E7)</f>
        <v>75045854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IFERROR(__xludf.DUMMYFUNCTION("""COMPUTED_VALUE"""),171.59)</f>
        <v>171.59</v>
      </c>
      <c r="C340" s="2">
        <f>IFERROR(__xludf.DUMMYFUNCTION("""COMPUTED_VALUE"""),176.06)</f>
        <v>176.06</v>
      </c>
      <c r="D340" s="2">
        <f>IFERROR(__xludf.DUMMYFUNCTION("""COMPUTED_VALUE"""),170.15)</f>
        <v>170.15</v>
      </c>
      <c r="E340" s="2">
        <f>IFERROR(__xludf.DUMMYFUNCTION("""COMPUTED_VALUE"""),174.72)</f>
        <v>174.72</v>
      </c>
      <c r="F340" s="2">
        <f>IFERROR(__xludf.DUMMYFUNCTION("""COMPUTED_VALUE"""),7.9969488E7)</f>
        <v>79969488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IFERROR(__xludf.DUMMYFUNCTION("""COMPUTED_VALUE"""),175.01)</f>
        <v>175.01</v>
      </c>
      <c r="C341" s="2">
        <f>IFERROR(__xludf.DUMMYFUNCTION("""COMPUTED_VALUE"""),175.62)</f>
        <v>175.62</v>
      </c>
      <c r="D341" s="2">
        <f>IFERROR(__xludf.DUMMYFUNCTION("""COMPUTED_VALUE"""),171.37)</f>
        <v>171.37</v>
      </c>
      <c r="E341" s="2">
        <f>IFERROR(__xludf.DUMMYFUNCTION("""COMPUTED_VALUE"""),171.97)</f>
        <v>171.97</v>
      </c>
      <c r="F341" s="2">
        <f>IFERROR(__xludf.DUMMYFUNCTION("""COMPUTED_VALUE"""),6.5950292E7)</f>
        <v>65950292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IFERROR(__xludf.DUMMYFUNCTION("""COMPUTED_VALUE"""),173.05)</f>
        <v>173.05</v>
      </c>
      <c r="C342" s="2">
        <f>IFERROR(__xludf.DUMMYFUNCTION("""COMPUTED_VALUE"""),173.06)</f>
        <v>173.06</v>
      </c>
      <c r="D342" s="2">
        <f>IFERROR(__xludf.DUMMYFUNCTION("""COMPUTED_VALUE"""),167.75)</f>
        <v>167.75</v>
      </c>
      <c r="E342" s="2">
        <f>IFERROR(__xludf.DUMMYFUNCTION("""COMPUTED_VALUE"""),168.47)</f>
        <v>168.47</v>
      </c>
      <c r="F342" s="2">
        <f>IFERROR(__xludf.DUMMYFUNCTION("""COMPUTED_VALUE"""),7.2627178E7)</f>
        <v>72627178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IFERROR(__xludf.DUMMYFUNCTION("""COMPUTED_VALUE"""),170.0)</f>
        <v>170</v>
      </c>
      <c r="C343" s="2">
        <f>IFERROR(__xludf.DUMMYFUNCTION("""COMPUTED_VALUE"""),175.4)</f>
        <v>175.4</v>
      </c>
      <c r="D343" s="2">
        <f>IFERROR(__xludf.DUMMYFUNCTION("""COMPUTED_VALUE"""),169.0)</f>
        <v>169</v>
      </c>
      <c r="E343" s="2">
        <f>IFERROR(__xludf.DUMMYFUNCTION("""COMPUTED_VALUE"""),171.89)</f>
        <v>171.89</v>
      </c>
      <c r="F343" s="2">
        <f>IFERROR(__xludf.DUMMYFUNCTION("""COMPUTED_VALUE"""),6.7018903E7)</f>
        <v>67018903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IFERROR(__xludf.DUMMYFUNCTION("""COMPUTED_VALUE"""),174.5)</f>
        <v>174.5</v>
      </c>
      <c r="C344" s="2">
        <f>IFERROR(__xludf.DUMMYFUNCTION("""COMPUTED_VALUE"""),179.49)</f>
        <v>179.49</v>
      </c>
      <c r="D344" s="2">
        <f>IFERROR(__xludf.DUMMYFUNCTION("""COMPUTED_VALUE"""),174.07)</f>
        <v>174.07</v>
      </c>
      <c r="E344" s="2">
        <f>IFERROR(__xludf.DUMMYFUNCTION("""COMPUTED_VALUE"""),177.55)</f>
        <v>177.55</v>
      </c>
      <c r="F344" s="2">
        <f>IFERROR(__xludf.DUMMYFUNCTION("""COMPUTED_VALUE"""),8.6407422E7)</f>
        <v>86407422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IFERROR(__xludf.DUMMYFUNCTION("""COMPUTED_VALUE"""),179.9)</f>
        <v>179.9</v>
      </c>
      <c r="C345" s="2">
        <f>IFERROR(__xludf.DUMMYFUNCTION("""COMPUTED_VALUE"""),180.0)</f>
        <v>180</v>
      </c>
      <c r="D345" s="2">
        <f>IFERROR(__xludf.DUMMYFUNCTION("""COMPUTED_VALUE"""),173.11)</f>
        <v>173.11</v>
      </c>
      <c r="E345" s="2">
        <f>IFERROR(__xludf.DUMMYFUNCTION("""COMPUTED_VALUE"""),173.99)</f>
        <v>173.99</v>
      </c>
      <c r="F345" s="2">
        <f>IFERROR(__xludf.DUMMYFUNCTION("""COMPUTED_VALUE"""),7.9662993E7)</f>
        <v>79662993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IFERROR(__xludf.DUMMYFUNCTION("""COMPUTED_VALUE"""),174.1)</f>
        <v>174.1</v>
      </c>
      <c r="C346" s="2">
        <f>IFERROR(__xludf.DUMMYFUNCTION("""COMPUTED_VALUE"""),175.79)</f>
        <v>175.79</v>
      </c>
      <c r="D346" s="2">
        <f>IFERROR(__xludf.DUMMYFUNCTION("""COMPUTED_VALUE"""),171.43)</f>
        <v>171.43</v>
      </c>
      <c r="E346" s="2">
        <f>IFERROR(__xludf.DUMMYFUNCTION("""COMPUTED_VALUE"""),174.84)</f>
        <v>174.84</v>
      </c>
      <c r="F346" s="2">
        <f>IFERROR(__xludf.DUMMYFUNCTION("""COMPUTED_VALUE"""),5.981222E7)</f>
        <v>59812220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IFERROR(__xludf.DUMMYFUNCTION("""COMPUTED_VALUE"""),173.55)</f>
        <v>173.55</v>
      </c>
      <c r="C347" s="2">
        <f>IFERROR(__xludf.DUMMYFUNCTION("""COMPUTED_VALUE"""),179.63)</f>
        <v>179.63</v>
      </c>
      <c r="D347" s="2">
        <f>IFERROR(__xludf.DUMMYFUNCTION("""COMPUTED_VALUE"""),172.75)</f>
        <v>172.75</v>
      </c>
      <c r="E347" s="2">
        <f>IFERROR(__xludf.DUMMYFUNCTION("""COMPUTED_VALUE"""),177.46)</f>
        <v>177.46</v>
      </c>
      <c r="F347" s="2">
        <f>IFERROR(__xludf.DUMMYFUNCTION("""COMPUTED_VALUE"""),7.7445845E7)</f>
        <v>77445845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IFERROR(__xludf.DUMMYFUNCTION("""COMPUTED_VALUE"""),177.56)</f>
        <v>177.56</v>
      </c>
      <c r="C348" s="2">
        <f>IFERROR(__xludf.DUMMYFUNCTION("""COMPUTED_VALUE"""),177.75)</f>
        <v>177.75</v>
      </c>
      <c r="D348" s="2">
        <f>IFERROR(__xludf.DUMMYFUNCTION("""COMPUTED_VALUE"""),173.52)</f>
        <v>173.52</v>
      </c>
      <c r="E348" s="2">
        <f>IFERROR(__xludf.DUMMYFUNCTION("""COMPUTED_VALUE"""),174.95)</f>
        <v>174.95</v>
      </c>
      <c r="F348" s="2">
        <f>IFERROR(__xludf.DUMMYFUNCTION("""COMPUTED_VALUE"""),6.1727425E7)</f>
        <v>61727425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IFERROR(__xludf.DUMMYFUNCTION("""COMPUTED_VALUE"""),175.51)</f>
        <v>175.51</v>
      </c>
      <c r="C349" s="2">
        <f>IFERROR(__xludf.DUMMYFUNCTION("""COMPUTED_VALUE"""),186.88)</f>
        <v>186.88</v>
      </c>
      <c r="D349" s="2">
        <f>IFERROR(__xludf.DUMMYFUNCTION("""COMPUTED_VALUE"""),174.71)</f>
        <v>174.71</v>
      </c>
      <c r="E349" s="2">
        <f>IFERROR(__xludf.DUMMYFUNCTION("""COMPUTED_VALUE"""),186.6)</f>
        <v>186.6</v>
      </c>
      <c r="F349" s="2">
        <f>IFERROR(__xludf.DUMMYFUNCTION("""COMPUTED_VALUE"""),1.15266512E8)</f>
        <v>115266512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IFERROR(__xludf.DUMMYFUNCTION("""COMPUTED_VALUE"""),182.85)</f>
        <v>182.85</v>
      </c>
      <c r="C350" s="2">
        <f>IFERROR(__xludf.DUMMYFUNCTION("""COMPUTED_VALUE"""),183.8)</f>
        <v>183.8</v>
      </c>
      <c r="D350" s="2">
        <f>IFERROR(__xludf.DUMMYFUNCTION("""COMPUTED_VALUE"""),178.12)</f>
        <v>178.12</v>
      </c>
      <c r="E350" s="2">
        <f>IFERROR(__xludf.DUMMYFUNCTION("""COMPUTED_VALUE"""),180.11)</f>
        <v>180.11</v>
      </c>
      <c r="F350" s="2">
        <f>IFERROR(__xludf.DUMMYFUNCTION("""COMPUTED_VALUE"""),8.8313477E7)</f>
        <v>88313477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IFERROR(__xludf.DUMMYFUNCTION("""COMPUTED_VALUE"""),181.8)</f>
        <v>181.8</v>
      </c>
      <c r="C351" s="2">
        <f>IFERROR(__xludf.DUMMYFUNCTION("""COMPUTED_VALUE"""),181.9)</f>
        <v>181.9</v>
      </c>
      <c r="D351" s="2">
        <f>IFERROR(__xludf.DUMMYFUNCTION("""COMPUTED_VALUE"""),173.26)</f>
        <v>173.26</v>
      </c>
      <c r="E351" s="2">
        <f>IFERROR(__xludf.DUMMYFUNCTION("""COMPUTED_VALUE"""),173.74)</f>
        <v>173.74</v>
      </c>
      <c r="F351" s="2">
        <f>IFERROR(__xludf.DUMMYFUNCTION("""COMPUTED_VALUE"""),7.1975496E7)</f>
        <v>71975496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IFERROR(__xludf.DUMMYFUNCTION("""COMPUTED_VALUE"""),174.84)</f>
        <v>174.84</v>
      </c>
      <c r="C352" s="2">
        <f>IFERROR(__xludf.DUMMYFUNCTION("""COMPUTED_VALUE"""),180.08)</f>
        <v>180.08</v>
      </c>
      <c r="D352" s="2">
        <f>IFERROR(__xludf.DUMMYFUNCTION("""COMPUTED_VALUE"""),173.73)</f>
        <v>173.73</v>
      </c>
      <c r="E352" s="2">
        <f>IFERROR(__xludf.DUMMYFUNCTION("""COMPUTED_VALUE"""),179.24)</f>
        <v>179.24</v>
      </c>
      <c r="F352" s="2">
        <f>IFERROR(__xludf.DUMMYFUNCTION("""COMPUTED_VALUE"""),6.5584478E7)</f>
        <v>65584478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IFERROR(__xludf.DUMMYFUNCTION("""COMPUTED_VALUE"""),176.4)</f>
        <v>176.4</v>
      </c>
      <c r="C353" s="2">
        <f>IFERROR(__xludf.DUMMYFUNCTION("""COMPUTED_VALUE"""),178.25)</f>
        <v>178.25</v>
      </c>
      <c r="D353" s="2">
        <f>IFERROR(__xludf.DUMMYFUNCTION("""COMPUTED_VALUE"""),173.16)</f>
        <v>173.16</v>
      </c>
      <c r="E353" s="2">
        <f>IFERROR(__xludf.DUMMYFUNCTION("""COMPUTED_VALUE"""),176.75)</f>
        <v>176.75</v>
      </c>
      <c r="F353" s="2">
        <f>IFERROR(__xludf.DUMMYFUNCTION("""COMPUTED_VALUE"""),5.973662E7)</f>
        <v>59736620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IFERROR(__xludf.DUMMYFUNCTION("""COMPUTED_VALUE"""),174.19)</f>
        <v>174.19</v>
      </c>
      <c r="C354" s="2">
        <f>IFERROR(__xludf.DUMMYFUNCTION("""COMPUTED_VALUE"""),178.15)</f>
        <v>178.15</v>
      </c>
      <c r="D354" s="2">
        <f>IFERROR(__xludf.DUMMYFUNCTION("""COMPUTED_VALUE"""),173.93)</f>
        <v>173.93</v>
      </c>
      <c r="E354" s="2">
        <f>IFERROR(__xludf.DUMMYFUNCTION("""COMPUTED_VALUE"""),176.19)</f>
        <v>176.19</v>
      </c>
      <c r="F354" s="2">
        <f>IFERROR(__xludf.DUMMYFUNCTION("""COMPUTED_VALUE"""),5.4782649E7)</f>
        <v>54782649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IFERROR(__xludf.DUMMYFUNCTION("""COMPUTED_VALUE"""),178.58)</f>
        <v>178.58</v>
      </c>
      <c r="C355" s="2">
        <f>IFERROR(__xludf.DUMMYFUNCTION("""COMPUTED_VALUE"""),182.67)</f>
        <v>182.67</v>
      </c>
      <c r="D355" s="2">
        <f>IFERROR(__xludf.DUMMYFUNCTION("""COMPUTED_VALUE"""),175.38)</f>
        <v>175.38</v>
      </c>
      <c r="E355" s="2">
        <f>IFERROR(__xludf.DUMMYFUNCTION("""COMPUTED_VALUE"""),178.79)</f>
        <v>178.79</v>
      </c>
      <c r="F355" s="2">
        <f>IFERROR(__xludf.DUMMYFUNCTION("""COMPUTED_VALUE"""),7.7784755E7)</f>
        <v>77784755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IFERROR(__xludf.DUMMYFUNCTION("""COMPUTED_VALUE"""),178.5)</f>
        <v>178.5</v>
      </c>
      <c r="C356" s="2">
        <f>IFERROR(__xludf.DUMMYFUNCTION("""COMPUTED_VALUE"""),180.32)</f>
        <v>180.32</v>
      </c>
      <c r="D356" s="2">
        <f>IFERROR(__xludf.DUMMYFUNCTION("""COMPUTED_VALUE"""),173.82)</f>
        <v>173.82</v>
      </c>
      <c r="E356" s="2">
        <f>IFERROR(__xludf.DUMMYFUNCTION("""COMPUTED_VALUE"""),178.08)</f>
        <v>178.08</v>
      </c>
      <c r="F356" s="2">
        <f>IFERROR(__xludf.DUMMYFUNCTION("""COMPUTED_VALUE"""),6.7314602E7)</f>
        <v>67314602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IFERROR(__xludf.DUMMYFUNCTION("""COMPUTED_VALUE"""),178.13)</f>
        <v>178.13</v>
      </c>
      <c r="C357" s="2">
        <f>IFERROR(__xludf.DUMMYFUNCTION("""COMPUTED_VALUE"""),182.64)</f>
        <v>182.64</v>
      </c>
      <c r="D357" s="2">
        <f>IFERROR(__xludf.DUMMYFUNCTION("""COMPUTED_VALUE"""),174.49)</f>
        <v>174.49</v>
      </c>
      <c r="E357" s="2">
        <f>IFERROR(__xludf.DUMMYFUNCTION("""COMPUTED_VALUE"""),176.29)</f>
        <v>176.29</v>
      </c>
      <c r="F357" s="2">
        <f>IFERROR(__xludf.DUMMYFUNCTION("""COMPUTED_VALUE"""),6.856892E7)</f>
        <v>68568920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IFERROR(__xludf.DUMMYFUNCTION("""COMPUTED_VALUE"""),174.78)</f>
        <v>174.78</v>
      </c>
      <c r="C358" s="2">
        <f>IFERROR(__xludf.DUMMYFUNCTION("""COMPUTED_VALUE"""),177.76)</f>
        <v>177.76</v>
      </c>
      <c r="D358" s="2">
        <f>IFERROR(__xludf.DUMMYFUNCTION("""COMPUTED_VALUE"""),174.0)</f>
        <v>174</v>
      </c>
      <c r="E358" s="2">
        <f>IFERROR(__xludf.DUMMYFUNCTION("""COMPUTED_VALUE"""),174.77)</f>
        <v>174.77</v>
      </c>
      <c r="F358" s="2">
        <f>IFERROR(__xludf.DUMMYFUNCTION("""COMPUTED_VALUE"""),6.005634E7)</f>
        <v>60056340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IFERROR(__xludf.DUMMYFUNCTION("""COMPUTED_VALUE"""),175.35)</f>
        <v>175.35</v>
      </c>
      <c r="C359" s="2">
        <f>IFERROR(__xludf.DUMMYFUNCTION("""COMPUTED_VALUE"""),176.15)</f>
        <v>176.15</v>
      </c>
      <c r="D359" s="2">
        <f>IFERROR(__xludf.DUMMYFUNCTION("""COMPUTED_VALUE"""),172.13)</f>
        <v>172.13</v>
      </c>
      <c r="E359" s="2">
        <f>IFERROR(__xludf.DUMMYFUNCTION("""COMPUTED_VALUE"""),175.0)</f>
        <v>175</v>
      </c>
      <c r="F359" s="2">
        <f>IFERROR(__xludf.DUMMYFUNCTION("""COMPUTED_VALUE"""),5.7953756E7)</f>
        <v>57953756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IFERROR(__xludf.DUMMYFUNCTION("""COMPUTED_VALUE"""),174.6)</f>
        <v>174.6</v>
      </c>
      <c r="C360" s="2">
        <f>IFERROR(__xludf.DUMMYFUNCTION("""COMPUTED_VALUE"""),179.73)</f>
        <v>179.73</v>
      </c>
      <c r="D360" s="2">
        <f>IFERROR(__xludf.DUMMYFUNCTION("""COMPUTED_VALUE"""),172.73)</f>
        <v>172.73</v>
      </c>
      <c r="E360" s="2">
        <f>IFERROR(__xludf.DUMMYFUNCTION("""COMPUTED_VALUE"""),177.94)</f>
        <v>177.94</v>
      </c>
      <c r="F360" s="2">
        <f>IFERROR(__xludf.DUMMYFUNCTION("""COMPUTED_VALUE"""),6.9887024E7)</f>
        <v>69887024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IFERROR(__xludf.DUMMYFUNCTION("""COMPUTED_VALUE"""),176.13)</f>
        <v>176.13</v>
      </c>
      <c r="C361" s="2">
        <f>IFERROR(__xludf.DUMMYFUNCTION("""COMPUTED_VALUE"""),179.35)</f>
        <v>179.35</v>
      </c>
      <c r="D361" s="2">
        <f>IFERROR(__xludf.DUMMYFUNCTION("""COMPUTED_VALUE"""),175.58)</f>
        <v>175.58</v>
      </c>
      <c r="E361" s="2">
        <f>IFERROR(__xludf.DUMMYFUNCTION("""COMPUTED_VALUE"""),177.48)</f>
        <v>177.48</v>
      </c>
      <c r="F361" s="2">
        <f>IFERROR(__xludf.DUMMYFUNCTION("""COMPUTED_VALUE"""),5.6244932E7)</f>
        <v>56244932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IFERROR(__xludf.DUMMYFUNCTION("""COMPUTED_VALUE"""),176.06)</f>
        <v>176.06</v>
      </c>
      <c r="C362" s="2">
        <f>IFERROR(__xludf.DUMMYFUNCTION("""COMPUTED_VALUE"""),178.57)</f>
        <v>178.57</v>
      </c>
      <c r="D362" s="2">
        <f>IFERROR(__xludf.DUMMYFUNCTION("""COMPUTED_VALUE"""),173.17)</f>
        <v>173.17</v>
      </c>
      <c r="E362" s="2">
        <f>IFERROR(__xludf.DUMMYFUNCTION("""COMPUTED_VALUE"""),173.79)</f>
        <v>173.79</v>
      </c>
      <c r="F362" s="2">
        <f>IFERROR(__xludf.DUMMYFUNCTION("""COMPUTED_VALUE"""),5.0869682E7)</f>
        <v>50869682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IFERROR(__xludf.DUMMYFUNCTION("""COMPUTED_VALUE"""),173.92)</f>
        <v>173.92</v>
      </c>
      <c r="C363" s="2">
        <f>IFERROR(__xludf.DUMMYFUNCTION("""COMPUTED_VALUE"""),174.75)</f>
        <v>174.75</v>
      </c>
      <c r="D363" s="2">
        <f>IFERROR(__xludf.DUMMYFUNCTION("""COMPUTED_VALUE"""),167.41)</f>
        <v>167.41</v>
      </c>
      <c r="E363" s="2">
        <f>IFERROR(__xludf.DUMMYFUNCTION("""COMPUTED_VALUE"""),170.66)</f>
        <v>170.66</v>
      </c>
      <c r="F363" s="2">
        <f>IFERROR(__xludf.DUMMYFUNCTION("""COMPUTED_VALUE"""),6.4761928E7)</f>
        <v>64761928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IFERROR(__xludf.DUMMYFUNCTION("""COMPUTED_VALUE"""),171.12)</f>
        <v>171.12</v>
      </c>
      <c r="C364" s="2">
        <f>IFERROR(__xludf.DUMMYFUNCTION("""COMPUTED_VALUE"""),180.55)</f>
        <v>180.55</v>
      </c>
      <c r="D364" s="2">
        <f>IFERROR(__xludf.DUMMYFUNCTION("""COMPUTED_VALUE"""),169.8)</f>
        <v>169.8</v>
      </c>
      <c r="E364" s="2">
        <f>IFERROR(__xludf.DUMMYFUNCTION("""COMPUTED_VALUE"""),177.29)</f>
        <v>177.29</v>
      </c>
      <c r="F364" s="2">
        <f>IFERROR(__xludf.DUMMYFUNCTION("""COMPUTED_VALUE"""),9.0389446E7)</f>
        <v>90389446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IFERROR(__xludf.DUMMYFUNCTION("""COMPUTED_VALUE"""),188.39)</f>
        <v>188.39</v>
      </c>
      <c r="C365" s="2">
        <f>IFERROR(__xludf.DUMMYFUNCTION("""COMPUTED_VALUE"""),191.08)</f>
        <v>191.08</v>
      </c>
      <c r="D365" s="2">
        <f>IFERROR(__xludf.DUMMYFUNCTION("""COMPUTED_VALUE"""),181.23)</f>
        <v>181.23</v>
      </c>
      <c r="E365" s="2">
        <f>IFERROR(__xludf.DUMMYFUNCTION("""COMPUTED_VALUE"""),182.47)</f>
        <v>182.47</v>
      </c>
      <c r="F365" s="2">
        <f>IFERROR(__xludf.DUMMYFUNCTION("""COMPUTED_VALUE"""),1.18984122E8)</f>
        <v>118984122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IFERROR(__xludf.DUMMYFUNCTION("""COMPUTED_VALUE"""),185.8)</f>
        <v>185.8</v>
      </c>
      <c r="C366" s="2">
        <f>IFERROR(__xludf.DUMMYFUNCTION("""COMPUTED_VALUE"""),186.0)</f>
        <v>186</v>
      </c>
      <c r="D366" s="2">
        <f>IFERROR(__xludf.DUMMYFUNCTION("""COMPUTED_VALUE"""),176.92)</f>
        <v>176.92</v>
      </c>
      <c r="E366" s="2">
        <f>IFERROR(__xludf.DUMMYFUNCTION("""COMPUTED_VALUE"""),178.01)</f>
        <v>178.01</v>
      </c>
      <c r="F366" s="2">
        <f>IFERROR(__xludf.DUMMYFUNCTION("""COMPUTED_VALUE"""),8.2038194E7)</f>
        <v>82038194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IFERROR(__xludf.DUMMYFUNCTION("""COMPUTED_VALUE"""),177.92)</f>
        <v>177.92</v>
      </c>
      <c r="C367" s="2">
        <f>IFERROR(__xludf.DUMMYFUNCTION("""COMPUTED_VALUE"""),188.81)</f>
        <v>188.81</v>
      </c>
      <c r="D367" s="2">
        <f>IFERROR(__xludf.DUMMYFUNCTION("""COMPUTED_VALUE"""),177.0)</f>
        <v>177</v>
      </c>
      <c r="E367" s="2">
        <f>IFERROR(__xludf.DUMMYFUNCTION("""COMPUTED_VALUE"""),187.44)</f>
        <v>187.44</v>
      </c>
      <c r="F367" s="2">
        <f>IFERROR(__xludf.DUMMYFUNCTION("""COMPUTED_VALUE"""),1.09786083E8)</f>
        <v>109786083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IFERROR(__xludf.DUMMYFUNCTION("""COMPUTED_VALUE"""),186.56)</f>
        <v>186.56</v>
      </c>
      <c r="C368" s="2">
        <f>IFERROR(__xludf.DUMMYFUNCTION("""COMPUTED_VALUE"""),187.2)</f>
        <v>187.2</v>
      </c>
      <c r="D368" s="2">
        <f>IFERROR(__xludf.DUMMYFUNCTION("""COMPUTED_VALUE"""),182.37)</f>
        <v>182.37</v>
      </c>
      <c r="E368" s="2">
        <f>IFERROR(__xludf.DUMMYFUNCTION("""COMPUTED_VALUE"""),184.86)</f>
        <v>184.86</v>
      </c>
      <c r="F368" s="2">
        <f>IFERROR(__xludf.DUMMYFUNCTION("""COMPUTED_VALUE"""),6.8982265E7)</f>
        <v>68982265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IFERROR(__xludf.DUMMYFUNCTION("""COMPUTED_VALUE"""),184.68)</f>
        <v>184.68</v>
      </c>
      <c r="C369" s="2">
        <f>IFERROR(__xludf.DUMMYFUNCTION("""COMPUTED_VALUE"""),185.21)</f>
        <v>185.21</v>
      </c>
      <c r="D369" s="2">
        <f>IFERROR(__xludf.DUMMYFUNCTION("""COMPUTED_VALUE"""),179.66)</f>
        <v>179.66</v>
      </c>
      <c r="E369" s="2">
        <f>IFERROR(__xludf.DUMMYFUNCTION("""COMPUTED_VALUE"""),181.57)</f>
        <v>181.57</v>
      </c>
      <c r="F369" s="2">
        <f>IFERROR(__xludf.DUMMYFUNCTION("""COMPUTED_VALUE"""),5.5893139E7)</f>
        <v>55893139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IFERROR(__xludf.DUMMYFUNCTION("""COMPUTED_VALUE"""),182.3)</f>
        <v>182.3</v>
      </c>
      <c r="C370" s="2">
        <f>IFERROR(__xludf.DUMMYFUNCTION("""COMPUTED_VALUE"""),183.95)</f>
        <v>183.95</v>
      </c>
      <c r="D370" s="2">
        <f>IFERROR(__xludf.DUMMYFUNCTION("""COMPUTED_VALUE"""),180.69)</f>
        <v>180.69</v>
      </c>
      <c r="E370" s="2">
        <f>IFERROR(__xludf.DUMMYFUNCTION("""COMPUTED_VALUE"""),183.01)</f>
        <v>183.01</v>
      </c>
      <c r="F370" s="2">
        <f>IFERROR(__xludf.DUMMYFUNCTION("""COMPUTED_VALUE"""),6.3029482E7)</f>
        <v>63029482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IFERROR(__xludf.DUMMYFUNCTION("""COMPUTED_VALUE"""),184.97)</f>
        <v>184.97</v>
      </c>
      <c r="C371" s="2">
        <f>IFERROR(__xludf.DUMMYFUNCTION("""COMPUTED_VALUE"""),188.8)</f>
        <v>188.8</v>
      </c>
      <c r="D371" s="2">
        <f>IFERROR(__xludf.DUMMYFUNCTION("""COMPUTED_VALUE"""),182.55)</f>
        <v>182.55</v>
      </c>
      <c r="E371" s="2">
        <f>IFERROR(__xludf.DUMMYFUNCTION("""COMPUTED_VALUE"""),182.58)</f>
        <v>182.58</v>
      </c>
      <c r="F371" s="2">
        <f>IFERROR(__xludf.DUMMYFUNCTION("""COMPUTED_VALUE"""),6.199207E7)</f>
        <v>61992070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IFERROR(__xludf.DUMMYFUNCTION("""COMPUTED_VALUE"""),184.4)</f>
        <v>184.4</v>
      </c>
      <c r="C372" s="2">
        <f>IFERROR(__xludf.DUMMYFUNCTION("""COMPUTED_VALUE"""),187.97)</f>
        <v>187.97</v>
      </c>
      <c r="D372" s="2">
        <f>IFERROR(__xludf.DUMMYFUNCTION("""COMPUTED_VALUE"""),182.01)</f>
        <v>182.01</v>
      </c>
      <c r="E372" s="2">
        <f>IFERROR(__xludf.DUMMYFUNCTION("""COMPUTED_VALUE"""),187.35)</f>
        <v>187.35</v>
      </c>
      <c r="F372" s="2">
        <f>IFERROR(__xludf.DUMMYFUNCTION("""COMPUTED_VALUE"""),6.3678265E7)</f>
        <v>63678265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IFERROR(__xludf.DUMMYFUNCTION("""COMPUTED_VALUE"""),186.54)</f>
        <v>186.54</v>
      </c>
      <c r="C373" s="2">
        <f>IFERROR(__xludf.DUMMYFUNCTION("""COMPUTED_VALUE"""),197.76)</f>
        <v>197.76</v>
      </c>
      <c r="D373" s="2">
        <f>IFERROR(__xludf.DUMMYFUNCTION("""COMPUTED_VALUE"""),186.36)</f>
        <v>186.36</v>
      </c>
      <c r="E373" s="2">
        <f>IFERROR(__xludf.DUMMYFUNCTION("""COMPUTED_VALUE"""),196.37)</f>
        <v>196.37</v>
      </c>
      <c r="F373" s="2">
        <f>IFERROR(__xludf.DUMMYFUNCTION("""COMPUTED_VALUE"""),9.5737066E7)</f>
        <v>95737066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IFERROR(__xludf.DUMMYFUNCTION("""COMPUTED_VALUE"""),195.17)</f>
        <v>195.17</v>
      </c>
      <c r="C374" s="2">
        <f>IFERROR(__xludf.DUMMYFUNCTION("""COMPUTED_VALUE"""),198.72)</f>
        <v>198.72</v>
      </c>
      <c r="D374" s="2">
        <f>IFERROR(__xludf.DUMMYFUNCTION("""COMPUTED_VALUE"""),194.05)</f>
        <v>194.05</v>
      </c>
      <c r="E374" s="2">
        <f>IFERROR(__xludf.DUMMYFUNCTION("""COMPUTED_VALUE"""),197.42)</f>
        <v>197.42</v>
      </c>
      <c r="F374" s="2">
        <f>IFERROR(__xludf.DUMMYFUNCTION("""COMPUTED_VALUE"""),7.2746521E7)</f>
        <v>72746521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IFERROR(__xludf.DUMMYFUNCTION("""COMPUTED_VALUE"""),199.55)</f>
        <v>199.55</v>
      </c>
      <c r="C375" s="2">
        <f>IFERROR(__xludf.DUMMYFUNCTION("""COMPUTED_VALUE"""),203.2)</f>
        <v>203.2</v>
      </c>
      <c r="D375" s="2">
        <f>IFERROR(__xludf.DUMMYFUNCTION("""COMPUTED_VALUE"""),195.26)</f>
        <v>195.26</v>
      </c>
      <c r="E375" s="2">
        <f>IFERROR(__xludf.DUMMYFUNCTION("""COMPUTED_VALUE"""),197.88)</f>
        <v>197.88</v>
      </c>
      <c r="F375" s="2">
        <f>IFERROR(__xludf.DUMMYFUNCTION("""COMPUTED_VALUE"""),9.5438068E7)</f>
        <v>95438068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IFERROR(__xludf.DUMMYFUNCTION("""COMPUTED_VALUE"""),201.02)</f>
        <v>201.02</v>
      </c>
      <c r="C376" s="2">
        <f>IFERROR(__xludf.DUMMYFUNCTION("""COMPUTED_VALUE"""),213.23)</f>
        <v>213.23</v>
      </c>
      <c r="D376" s="2">
        <f>IFERROR(__xludf.DUMMYFUNCTION("""COMPUTED_VALUE"""),200.85)</f>
        <v>200.85</v>
      </c>
      <c r="E376" s="2">
        <f>IFERROR(__xludf.DUMMYFUNCTION("""COMPUTED_VALUE"""),209.86)</f>
        <v>209.86</v>
      </c>
      <c r="F376" s="2">
        <f>IFERROR(__xludf.DUMMYFUNCTION("""COMPUTED_VALUE"""),1.35691395E8)</f>
        <v>135691395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IFERROR(__xludf.DUMMYFUNCTION("""COMPUTED_VALUE"""),218.89)</f>
        <v>218.89</v>
      </c>
      <c r="C377" s="2">
        <f>IFERROR(__xludf.DUMMYFUNCTION("""COMPUTED_VALUE"""),231.3)</f>
        <v>231.3</v>
      </c>
      <c r="D377" s="2">
        <f>IFERROR(__xludf.DUMMYFUNCTION("""COMPUTED_VALUE"""),218.06)</f>
        <v>218.06</v>
      </c>
      <c r="E377" s="2">
        <f>IFERROR(__xludf.DUMMYFUNCTION("""COMPUTED_VALUE"""),231.26)</f>
        <v>231.26</v>
      </c>
      <c r="F377" s="2">
        <f>IFERROR(__xludf.DUMMYFUNCTION("""COMPUTED_VALUE"""),2.0504792E8)</f>
        <v>205047920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IFERROR(__xludf.DUMMYFUNCTION("""COMPUTED_VALUE"""),234.56)</f>
        <v>234.56</v>
      </c>
      <c r="C378" s="2">
        <f>IFERROR(__xludf.DUMMYFUNCTION("""COMPUTED_VALUE"""),248.35)</f>
        <v>248.35</v>
      </c>
      <c r="D378" s="2">
        <f>IFERROR(__xludf.DUMMYFUNCTION("""COMPUTED_VALUE"""),234.25)</f>
        <v>234.25</v>
      </c>
      <c r="E378" s="2">
        <f>IFERROR(__xludf.DUMMYFUNCTION("""COMPUTED_VALUE"""),246.39)</f>
        <v>246.39</v>
      </c>
      <c r="F378" s="2">
        <f>IFERROR(__xludf.DUMMYFUNCTION("""COMPUTED_VALUE"""),1.66561471E8)</f>
        <v>166561471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IFERROR(__xludf.DUMMYFUNCTION("""COMPUTED_VALUE"""),249.81)</f>
        <v>249.81</v>
      </c>
      <c r="C379" s="2">
        <f>IFERROR(__xludf.DUMMYFUNCTION("""COMPUTED_VALUE"""),252.37)</f>
        <v>252.37</v>
      </c>
      <c r="D379" s="2">
        <f>IFERROR(__xludf.DUMMYFUNCTION("""COMPUTED_VALUE"""),242.46)</f>
        <v>242.46</v>
      </c>
      <c r="E379" s="2">
        <f>IFERROR(__xludf.DUMMYFUNCTION("""COMPUTED_VALUE"""),251.52)</f>
        <v>251.52</v>
      </c>
      <c r="F379" s="2">
        <f>IFERROR(__xludf.DUMMYFUNCTION("""COMPUTED_VALUE"""),1.54501152E8)</f>
        <v>154501152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IFERROR(__xludf.DUMMYFUNCTION("""COMPUTED_VALUE"""),247.71)</f>
        <v>247.71</v>
      </c>
      <c r="C380" s="2">
        <f>IFERROR(__xludf.DUMMYFUNCTION("""COMPUTED_VALUE"""),259.44)</f>
        <v>259.44</v>
      </c>
      <c r="D380" s="2">
        <f>IFERROR(__xludf.DUMMYFUNCTION("""COMPUTED_VALUE"""),244.57)</f>
        <v>244.57</v>
      </c>
      <c r="E380" s="2">
        <f>IFERROR(__xludf.DUMMYFUNCTION("""COMPUTED_VALUE"""),252.94)</f>
        <v>252.94</v>
      </c>
      <c r="F380" s="2">
        <f>IFERROR(__xludf.DUMMYFUNCTION("""COMPUTED_VALUE"""),1.5721958E8)</f>
        <v>157219580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IFERROR(__xludf.DUMMYFUNCTION("""COMPUTED_VALUE"""),251.0)</f>
        <v>251</v>
      </c>
      <c r="C381" s="2">
        <f>IFERROR(__xludf.DUMMYFUNCTION("""COMPUTED_VALUE"""),265.61)</f>
        <v>265.61</v>
      </c>
      <c r="D381" s="2">
        <f>IFERROR(__xludf.DUMMYFUNCTION("""COMPUTED_VALUE"""),250.3)</f>
        <v>250.3</v>
      </c>
      <c r="E381" s="2">
        <f>IFERROR(__xludf.DUMMYFUNCTION("""COMPUTED_VALUE"""),262.33)</f>
        <v>262.33</v>
      </c>
      <c r="F381" s="2">
        <f>IFERROR(__xludf.DUMMYFUNCTION("""COMPUTED_VALUE"""),1.60742516E8)</f>
        <v>160742516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IFERROR(__xludf.DUMMYFUNCTION("""COMPUTED_VALUE"""),262.8)</f>
        <v>262.8</v>
      </c>
      <c r="C382" s="2">
        <f>IFERROR(__xludf.DUMMYFUNCTION("""COMPUTED_VALUE"""),267.59)</f>
        <v>267.59</v>
      </c>
      <c r="D382" s="2">
        <f>IFERROR(__xludf.DUMMYFUNCTION("""COMPUTED_VALUE"""),257.86)</f>
        <v>257.86</v>
      </c>
      <c r="E382" s="2">
        <f>IFERROR(__xludf.DUMMYFUNCTION("""COMPUTED_VALUE"""),263.26)</f>
        <v>263.26</v>
      </c>
      <c r="F382" s="2">
        <f>IFERROR(__xludf.DUMMYFUNCTION("""COMPUTED_VALUE"""),1.2851943E8)</f>
        <v>128519430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IFERROR(__xludf.DUMMYFUNCTION("""COMPUTED_VALUE"""),263.3)</f>
        <v>263.3</v>
      </c>
      <c r="C383" s="2">
        <f>IFERROR(__xludf.DUMMYFUNCTION("""COMPUTED_VALUE"""),271.0)</f>
        <v>271</v>
      </c>
      <c r="D383" s="2">
        <f>IFERROR(__xludf.DUMMYFUNCTION("""COMPUTED_VALUE"""),239.65)</f>
        <v>239.65</v>
      </c>
      <c r="E383" s="2">
        <f>IFERROR(__xludf.DUMMYFUNCTION("""COMPUTED_VALUE"""),241.03)</f>
        <v>241.03</v>
      </c>
      <c r="F383" s="2">
        <f>IFERROR(__xludf.DUMMYFUNCTION("""COMPUTED_VALUE"""),2.21707273E8)</f>
        <v>221707273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IFERROR(__xludf.DUMMYFUNCTION("""COMPUTED_VALUE"""),235.8)</f>
        <v>235.8</v>
      </c>
      <c r="C384" s="2">
        <f>IFERROR(__xludf.DUMMYFUNCTION("""COMPUTED_VALUE"""),251.84)</f>
        <v>251.84</v>
      </c>
      <c r="D384" s="2">
        <f>IFERROR(__xludf.DUMMYFUNCTION("""COMPUTED_VALUE"""),233.09)</f>
        <v>233.09</v>
      </c>
      <c r="E384" s="2">
        <f>IFERROR(__xludf.DUMMYFUNCTION("""COMPUTED_VALUE"""),248.23)</f>
        <v>248.23</v>
      </c>
      <c r="F384" s="2">
        <f>IFERROR(__xludf.DUMMYFUNCTION("""COMPUTED_VALUE"""),1.55955773E8)</f>
        <v>155955773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IFERROR(__xludf.DUMMYFUNCTION("""COMPUTED_VALUE"""),255.97)</f>
        <v>255.97</v>
      </c>
      <c r="C385" s="2">
        <f>IFERROR(__xludf.DUMMYFUNCTION("""COMPUTED_VALUE"""),265.6)</f>
        <v>265.6</v>
      </c>
      <c r="D385" s="2">
        <f>IFERROR(__xludf.DUMMYFUNCTION("""COMPUTED_VALUE"""),251.73)</f>
        <v>251.73</v>
      </c>
      <c r="E385" s="2">
        <f>IFERROR(__xludf.DUMMYFUNCTION("""COMPUTED_VALUE"""),252.64)</f>
        <v>252.64</v>
      </c>
      <c r="F385" s="2">
        <f>IFERROR(__xludf.DUMMYFUNCTION("""COMPUTED_VALUE"""),1.4691292E8)</f>
        <v>146912920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IFERROR(__xludf.DUMMYFUNCTION("""COMPUTED_VALUE"""),255.31)</f>
        <v>255.31</v>
      </c>
      <c r="C386" s="2">
        <f>IFERROR(__xludf.DUMMYFUNCTION("""COMPUTED_VALUE"""),258.62)</f>
        <v>258.62</v>
      </c>
      <c r="D386" s="2">
        <f>IFERROR(__xludf.DUMMYFUNCTION("""COMPUTED_VALUE"""),245.8)</f>
        <v>245.8</v>
      </c>
      <c r="E386" s="2">
        <f>IFERROR(__xludf.DUMMYFUNCTION("""COMPUTED_VALUE"""),256.56)</f>
        <v>256.56</v>
      </c>
      <c r="F386" s="2">
        <f>IFERROR(__xludf.DUMMYFUNCTION("""COMPUTED_VALUE"""),1.2633247E8)</f>
        <v>126332470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IFERROR(__xludf.DUMMYFUNCTION("""COMPUTED_VALUE"""),252.73)</f>
        <v>252.73</v>
      </c>
      <c r="C387" s="2">
        <f>IFERROR(__xludf.DUMMYFUNCTION("""COMPUTED_VALUE"""),258.47)</f>
        <v>258.47</v>
      </c>
      <c r="D387" s="2">
        <f>IFERROR(__xludf.DUMMYFUNCTION("""COMPUTED_VALUE"""),246.18)</f>
        <v>246.18</v>
      </c>
      <c r="E387" s="2">
        <f>IFERROR(__xludf.DUMMYFUNCTION("""COMPUTED_VALUE"""),248.5)</f>
        <v>248.5</v>
      </c>
      <c r="F387" s="2">
        <f>IFERROR(__xludf.DUMMYFUNCTION("""COMPUTED_VALUE"""),1.1558481E8)</f>
        <v>115584810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IFERROR(__xludf.DUMMYFUNCTION("""COMPUTED_VALUE"""),251.09)</f>
        <v>251.09</v>
      </c>
      <c r="C388" s="2">
        <f>IFERROR(__xludf.DUMMYFUNCTION("""COMPUTED_VALUE"""),257.14)</f>
        <v>257.14</v>
      </c>
      <c r="D388" s="2">
        <f>IFERROR(__xludf.DUMMYFUNCTION("""COMPUTED_VALUE"""),247.2)</f>
        <v>247.2</v>
      </c>
      <c r="E388" s="2">
        <f>IFERROR(__xludf.DUMMYFUNCTION("""COMPUTED_VALUE"""),249.23)</f>
        <v>249.23</v>
      </c>
      <c r="F388" s="2">
        <f>IFERROR(__xludf.DUMMYFUNCTION("""COMPUTED_VALUE"""),1.10869037E8)</f>
        <v>110869037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IFERROR(__xludf.DUMMYFUNCTION("""COMPUTED_VALUE"""),247.79)</f>
        <v>247.79</v>
      </c>
      <c r="C389" s="2">
        <f>IFERROR(__xludf.DUMMYFUNCTION("""COMPUTED_VALUE"""),249.44)</f>
        <v>249.44</v>
      </c>
      <c r="D389" s="2">
        <f>IFERROR(__xludf.DUMMYFUNCTION("""COMPUTED_VALUE"""),236.83)</f>
        <v>236.83</v>
      </c>
      <c r="E389" s="2">
        <f>IFERROR(__xludf.DUMMYFUNCTION("""COMPUTED_VALUE"""),239.2)</f>
        <v>239.2</v>
      </c>
      <c r="F389" s="2">
        <f>IFERROR(__xludf.DUMMYFUNCTION("""COMPUTED_VALUE"""),8.7403903E7)</f>
        <v>87403903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IFERROR(__xludf.DUMMYFUNCTION("""COMPUTED_VALUE"""),244.21)</f>
        <v>244.21</v>
      </c>
      <c r="C390" s="2">
        <f>IFERROR(__xludf.DUMMYFUNCTION("""COMPUTED_VALUE"""),253.21)</f>
        <v>253.21</v>
      </c>
      <c r="D390" s="2">
        <f>IFERROR(__xludf.DUMMYFUNCTION("""COMPUTED_VALUE"""),243.75)</f>
        <v>243.75</v>
      </c>
      <c r="E390" s="2">
        <f>IFERROR(__xludf.DUMMYFUNCTION("""COMPUTED_VALUE"""),251.51)</f>
        <v>251.51</v>
      </c>
      <c r="F390" s="2">
        <f>IFERROR(__xludf.DUMMYFUNCTION("""COMPUTED_VALUE"""),1.0122543E8)</f>
        <v>101225430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IFERROR(__xludf.DUMMYFUNCTION("""COMPUTED_VALUE"""),253.6)</f>
        <v>253.6</v>
      </c>
      <c r="C391" s="2">
        <f>IFERROR(__xludf.DUMMYFUNCTION("""COMPUTED_VALUE"""),255.76)</f>
        <v>255.76</v>
      </c>
      <c r="D391" s="2">
        <f>IFERROR(__xludf.DUMMYFUNCTION("""COMPUTED_VALUE"""),245.63)</f>
        <v>245.63</v>
      </c>
      <c r="E391" s="2">
        <f>IFERROR(__xludf.DUMMYFUNCTION("""COMPUTED_VALUE"""),246.38)</f>
        <v>246.38</v>
      </c>
      <c r="F391" s="2">
        <f>IFERROR(__xludf.DUMMYFUNCTION("""COMPUTED_VALUE"""),1.11928192E8)</f>
        <v>111928192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IFERROR(__xludf.DUMMYFUNCTION("""COMPUTED_VALUE"""),225.42)</f>
        <v>225.42</v>
      </c>
      <c r="C392" s="2">
        <f>IFERROR(__xludf.DUMMYFUNCTION("""COMPUTED_VALUE"""),225.99)</f>
        <v>225.99</v>
      </c>
      <c r="D392" s="2">
        <f>IFERROR(__xludf.DUMMYFUNCTION("""COMPUTED_VALUE"""),214.71)</f>
        <v>214.71</v>
      </c>
      <c r="E392" s="2">
        <f>IFERROR(__xludf.DUMMYFUNCTION("""COMPUTED_VALUE"""),215.99)</f>
        <v>215.99</v>
      </c>
      <c r="F392" s="2">
        <f>IFERROR(__xludf.DUMMYFUNCTION("""COMPUTED_VALUE"""),1.67942939E8)</f>
        <v>167942939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IFERROR(__xludf.DUMMYFUNCTION("""COMPUTED_VALUE"""),216.8)</f>
        <v>216.8</v>
      </c>
      <c r="C393" s="2">
        <f>IFERROR(__xludf.DUMMYFUNCTION("""COMPUTED_VALUE"""),226.0)</f>
        <v>226</v>
      </c>
      <c r="D393" s="2">
        <f>IFERROR(__xludf.DUMMYFUNCTION("""COMPUTED_VALUE"""),216.23)</f>
        <v>216.23</v>
      </c>
      <c r="E393" s="2">
        <f>IFERROR(__xludf.DUMMYFUNCTION("""COMPUTED_VALUE"""),220.25)</f>
        <v>220.25</v>
      </c>
      <c r="F393" s="2">
        <f>IFERROR(__xludf.DUMMYFUNCTION("""COMPUTED_VALUE"""),1.00636466E8)</f>
        <v>100636466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IFERROR(__xludf.DUMMYFUNCTION("""COMPUTED_VALUE"""),221.19)</f>
        <v>221.19</v>
      </c>
      <c r="C394" s="2">
        <f>IFERROR(__xludf.DUMMYFUNCTION("""COMPUTED_VALUE"""),222.28)</f>
        <v>222.28</v>
      </c>
      <c r="D394" s="2">
        <f>IFERROR(__xludf.DUMMYFUNCTION("""COMPUTED_VALUE"""),215.33)</f>
        <v>215.33</v>
      </c>
      <c r="E394" s="2">
        <f>IFERROR(__xludf.DUMMYFUNCTION("""COMPUTED_VALUE"""),219.8)</f>
        <v>219.8</v>
      </c>
      <c r="F394" s="2">
        <f>IFERROR(__xludf.DUMMYFUNCTION("""COMPUTED_VALUE"""),9.4604145E7)</f>
        <v>94604145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IFERROR(__xludf.DUMMYFUNCTION("""COMPUTED_VALUE"""),224.9)</f>
        <v>224.9</v>
      </c>
      <c r="C395" s="2">
        <f>IFERROR(__xludf.DUMMYFUNCTION("""COMPUTED_VALUE"""),234.27)</f>
        <v>234.27</v>
      </c>
      <c r="D395" s="2">
        <f>IFERROR(__xludf.DUMMYFUNCTION("""COMPUTED_VALUE"""),224.7)</f>
        <v>224.7</v>
      </c>
      <c r="E395" s="2">
        <f>IFERROR(__xludf.DUMMYFUNCTION("""COMPUTED_VALUE"""),232.1)</f>
        <v>232.1</v>
      </c>
      <c r="F395" s="2">
        <f>IFERROR(__xludf.DUMMYFUNCTION("""COMPUTED_VALUE"""),1.29201789E8)</f>
        <v>129201789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IFERROR(__xludf.DUMMYFUNCTION("""COMPUTED_VALUE"""),232.25)</f>
        <v>232.25</v>
      </c>
      <c r="C396" s="2">
        <f>IFERROR(__xludf.DUMMYFUNCTION("""COMPUTED_VALUE"""),232.41)</f>
        <v>232.41</v>
      </c>
      <c r="D396" s="2">
        <f>IFERROR(__xludf.DUMMYFUNCTION("""COMPUTED_VALUE"""),220.0)</f>
        <v>220</v>
      </c>
      <c r="E396" s="2">
        <f>IFERROR(__xludf.DUMMYFUNCTION("""COMPUTED_VALUE"""),222.62)</f>
        <v>222.62</v>
      </c>
      <c r="F396" s="2">
        <f>IFERROR(__xludf.DUMMYFUNCTION("""COMPUTED_VALUE"""),1.00560334E8)</f>
        <v>100560334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IFERROR(__xludf.DUMMYFUNCTION("""COMPUTED_VALUE"""),227.9)</f>
        <v>227.9</v>
      </c>
      <c r="C397" s="2">
        <f>IFERROR(__xludf.DUMMYFUNCTION("""COMPUTED_VALUE"""),234.68)</f>
        <v>234.68</v>
      </c>
      <c r="D397" s="2">
        <f>IFERROR(__xludf.DUMMYFUNCTION("""COMPUTED_VALUE"""),226.79)</f>
        <v>226.79</v>
      </c>
      <c r="E397" s="2">
        <f>IFERROR(__xludf.DUMMYFUNCTION("""COMPUTED_VALUE"""),232.07)</f>
        <v>232.07</v>
      </c>
      <c r="F397" s="2">
        <f>IFERROR(__xludf.DUMMYFUNCTION("""COMPUTED_VALUE"""),6.7497011E7)</f>
        <v>67497011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IFERROR(__xludf.DUMMYFUNCTION("""COMPUTED_VALUE"""),227.69)</f>
        <v>227.69</v>
      </c>
      <c r="C398" s="2">
        <f>IFERROR(__xludf.DUMMYFUNCTION("""COMPUTED_VALUE"""),231.87)</f>
        <v>231.87</v>
      </c>
      <c r="D398" s="2">
        <f>IFERROR(__xludf.DUMMYFUNCTION("""COMPUTED_VALUE"""),214.33)</f>
        <v>214.33</v>
      </c>
      <c r="E398" s="2">
        <f>IFERROR(__xludf.DUMMYFUNCTION("""COMPUTED_VALUE"""),216.86)</f>
        <v>216.86</v>
      </c>
      <c r="F398" s="2">
        <f>IFERROR(__xludf.DUMMYFUNCTION("""COMPUTED_VALUE"""),8.3861898E7)</f>
        <v>83861898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IFERROR(__xludf.DUMMYFUNCTION("""COMPUTED_VALUE"""),214.88)</f>
        <v>214.88</v>
      </c>
      <c r="C399" s="2">
        <f>IFERROR(__xludf.DUMMYFUNCTION("""COMPUTED_VALUE"""),216.13)</f>
        <v>216.13</v>
      </c>
      <c r="D399" s="2">
        <f>IFERROR(__xludf.DUMMYFUNCTION("""COMPUTED_VALUE"""),205.78)</f>
        <v>205.78</v>
      </c>
      <c r="E399" s="2">
        <f>IFERROR(__xludf.DUMMYFUNCTION("""COMPUTED_VALUE"""),207.67)</f>
        <v>207.67</v>
      </c>
      <c r="F399" s="2">
        <f>IFERROR(__xludf.DUMMYFUNCTION("""COMPUTED_VALUE"""),8.288012E7)</f>
        <v>82880120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IFERROR(__xludf.DUMMYFUNCTION("""COMPUTED_VALUE"""),185.22)</f>
        <v>185.22</v>
      </c>
      <c r="C400" s="2">
        <f>IFERROR(__xludf.DUMMYFUNCTION("""COMPUTED_VALUE"""),203.88)</f>
        <v>203.88</v>
      </c>
      <c r="D400" s="2">
        <f>IFERROR(__xludf.DUMMYFUNCTION("""COMPUTED_VALUE"""),182.0)</f>
        <v>182</v>
      </c>
      <c r="E400" s="2">
        <f>IFERROR(__xludf.DUMMYFUNCTION("""COMPUTED_VALUE"""),198.88)</f>
        <v>198.88</v>
      </c>
      <c r="F400" s="2">
        <f>IFERROR(__xludf.DUMMYFUNCTION("""COMPUTED_VALUE"""),1.00308836E8)</f>
        <v>100308836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IFERROR(__xludf.DUMMYFUNCTION("""COMPUTED_VALUE"""),200.75)</f>
        <v>200.75</v>
      </c>
      <c r="C401" s="2">
        <f>IFERROR(__xludf.DUMMYFUNCTION("""COMPUTED_VALUE"""),202.9)</f>
        <v>202.9</v>
      </c>
      <c r="D401" s="2">
        <f>IFERROR(__xludf.DUMMYFUNCTION("""COMPUTED_VALUE"""),192.67)</f>
        <v>192.67</v>
      </c>
      <c r="E401" s="2">
        <f>IFERROR(__xludf.DUMMYFUNCTION("""COMPUTED_VALUE"""),200.64)</f>
        <v>200.64</v>
      </c>
      <c r="F401" s="2">
        <f>IFERROR(__xludf.DUMMYFUNCTION("""COMPUTED_VALUE"""),7.3783942E7)</f>
        <v>73783942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IFERROR(__xludf.DUMMYFUNCTION("""COMPUTED_VALUE"""),200.77)</f>
        <v>200.77</v>
      </c>
      <c r="C402" s="2">
        <f>IFERROR(__xludf.DUMMYFUNCTION("""COMPUTED_VALUE"""),203.49)</f>
        <v>203.49</v>
      </c>
      <c r="D402" s="2">
        <f>IFERROR(__xludf.DUMMYFUNCTION("""COMPUTED_VALUE"""),191.48)</f>
        <v>191.48</v>
      </c>
      <c r="E402" s="2">
        <f>IFERROR(__xludf.DUMMYFUNCTION("""COMPUTED_VALUE"""),191.76)</f>
        <v>191.76</v>
      </c>
      <c r="F402" s="2">
        <f>IFERROR(__xludf.DUMMYFUNCTION("""COMPUTED_VALUE"""),7.1159778E7)</f>
        <v>71159778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IFERROR(__xludf.DUMMYFUNCTION("""COMPUTED_VALUE"""),195.7)</f>
        <v>195.7</v>
      </c>
      <c r="C403" s="2">
        <f>IFERROR(__xludf.DUMMYFUNCTION("""COMPUTED_VALUE"""),200.7)</f>
        <v>200.7</v>
      </c>
      <c r="D403" s="2">
        <f>IFERROR(__xludf.DUMMYFUNCTION("""COMPUTED_VALUE"""),192.04)</f>
        <v>192.04</v>
      </c>
      <c r="E403" s="2">
        <f>IFERROR(__xludf.DUMMYFUNCTION("""COMPUTED_VALUE"""),198.84)</f>
        <v>198.84</v>
      </c>
      <c r="F403" s="2">
        <f>IFERROR(__xludf.DUMMYFUNCTION("""COMPUTED_VALUE"""),6.5033874E7)</f>
        <v>65033874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IFERROR(__xludf.DUMMYFUNCTION("""COMPUTED_VALUE"""),197.05)</f>
        <v>197.05</v>
      </c>
      <c r="C404" s="2">
        <f>IFERROR(__xludf.DUMMYFUNCTION("""COMPUTED_VALUE"""),200.88)</f>
        <v>200.88</v>
      </c>
      <c r="D404" s="2">
        <f>IFERROR(__xludf.DUMMYFUNCTION("""COMPUTED_VALUE"""),195.11)</f>
        <v>195.11</v>
      </c>
      <c r="E404" s="2">
        <f>IFERROR(__xludf.DUMMYFUNCTION("""COMPUTED_VALUE"""),200.0)</f>
        <v>200</v>
      </c>
      <c r="F404" s="2">
        <f>IFERROR(__xludf.DUMMYFUNCTION("""COMPUTED_VALUE"""),5.8648274E7)</f>
        <v>58648274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IFERROR(__xludf.DUMMYFUNCTION("""COMPUTED_VALUE"""),199.02)</f>
        <v>199.02</v>
      </c>
      <c r="C405" s="2">
        <f>IFERROR(__xludf.DUMMYFUNCTION("""COMPUTED_VALUE"""),199.26)</f>
        <v>199.26</v>
      </c>
      <c r="D405" s="2">
        <f>IFERROR(__xludf.DUMMYFUNCTION("""COMPUTED_VALUE"""),194.67)</f>
        <v>194.67</v>
      </c>
      <c r="E405" s="2">
        <f>IFERROR(__xludf.DUMMYFUNCTION("""COMPUTED_VALUE"""),197.49)</f>
        <v>197.49</v>
      </c>
      <c r="F405" s="2">
        <f>IFERROR(__xludf.DUMMYFUNCTION("""COMPUTED_VALUE"""),6.4044903E7)</f>
        <v>64044903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IFERROR(__xludf.DUMMYFUNCTION("""COMPUTED_VALUE"""),198.47)</f>
        <v>198.47</v>
      </c>
      <c r="C406" s="2">
        <f>IFERROR(__xludf.DUMMYFUNCTION("""COMPUTED_VALUE"""),208.49)</f>
        <v>208.49</v>
      </c>
      <c r="D406" s="2">
        <f>IFERROR(__xludf.DUMMYFUNCTION("""COMPUTED_VALUE"""),197.06)</f>
        <v>197.06</v>
      </c>
      <c r="E406" s="2">
        <f>IFERROR(__xludf.DUMMYFUNCTION("""COMPUTED_VALUE"""),207.83)</f>
        <v>207.83</v>
      </c>
      <c r="F406" s="2">
        <f>IFERROR(__xludf.DUMMYFUNCTION("""COMPUTED_VALUE"""),7.6247387E7)</f>
        <v>76247387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IFERROR(__xludf.DUMMYFUNCTION("""COMPUTED_VALUE"""),207.39)</f>
        <v>207.39</v>
      </c>
      <c r="C407" s="2">
        <f>IFERROR(__xludf.DUMMYFUNCTION("""COMPUTED_VALUE"""),208.44)</f>
        <v>208.44</v>
      </c>
      <c r="D407" s="2">
        <f>IFERROR(__xludf.DUMMYFUNCTION("""COMPUTED_VALUE"""),198.75)</f>
        <v>198.75</v>
      </c>
      <c r="E407" s="2">
        <f>IFERROR(__xludf.DUMMYFUNCTION("""COMPUTED_VALUE"""),201.38)</f>
        <v>201.38</v>
      </c>
      <c r="F407" s="2">
        <f>IFERROR(__xludf.DUMMYFUNCTION("""COMPUTED_VALUE"""),7.0250014E7)</f>
        <v>70250014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IFERROR(__xludf.DUMMYFUNCTION("""COMPUTED_VALUE"""),205.02)</f>
        <v>205.02</v>
      </c>
      <c r="C408" s="2">
        <f>IFERROR(__xludf.DUMMYFUNCTION("""COMPUTED_VALUE"""),215.88)</f>
        <v>215.88</v>
      </c>
      <c r="D408" s="2">
        <f>IFERROR(__xludf.DUMMYFUNCTION("""COMPUTED_VALUE"""),204.82)</f>
        <v>204.82</v>
      </c>
      <c r="E408" s="2">
        <f>IFERROR(__xludf.DUMMYFUNCTION("""COMPUTED_VALUE"""),214.14)</f>
        <v>214.14</v>
      </c>
      <c r="F408" s="2">
        <f>IFERROR(__xludf.DUMMYFUNCTION("""COMPUTED_VALUE"""),8.984853E7)</f>
        <v>89848530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IFERROR(__xludf.DUMMYFUNCTION("""COMPUTED_VALUE"""),211.15)</f>
        <v>211.15</v>
      </c>
      <c r="C409" s="2">
        <f>IFERROR(__xludf.DUMMYFUNCTION("""COMPUTED_VALUE"""),219.8)</f>
        <v>219.8</v>
      </c>
      <c r="D409" s="2">
        <f>IFERROR(__xludf.DUMMYFUNCTION("""COMPUTED_VALUE"""),210.8)</f>
        <v>210.8</v>
      </c>
      <c r="E409" s="2">
        <f>IFERROR(__xludf.DUMMYFUNCTION("""COMPUTED_VALUE"""),216.12)</f>
        <v>216.12</v>
      </c>
      <c r="F409" s="2">
        <f>IFERROR(__xludf.DUMMYFUNCTION("""COMPUTED_VALUE"""),8.8765122E7)</f>
        <v>88765122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IFERROR(__xludf.DUMMYFUNCTION("""COMPUTED_VALUE"""),217.07)</f>
        <v>217.07</v>
      </c>
      <c r="C410" s="2">
        <f>IFERROR(__xludf.DUMMYFUNCTION("""COMPUTED_VALUE"""),222.98)</f>
        <v>222.98</v>
      </c>
      <c r="D410" s="2">
        <f>IFERROR(__xludf.DUMMYFUNCTION("""COMPUTED_VALUE"""),214.09)</f>
        <v>214.09</v>
      </c>
      <c r="E410" s="2">
        <f>IFERROR(__xludf.DUMMYFUNCTION("""COMPUTED_VALUE"""),222.72)</f>
        <v>222.72</v>
      </c>
      <c r="F410" s="2">
        <f>IFERROR(__xludf.DUMMYFUNCTION("""COMPUTED_VALUE"""),7.6435222E7)</f>
        <v>76435222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IFERROR(__xludf.DUMMYFUNCTION("""COMPUTED_VALUE"""),224.88)</f>
        <v>224.88</v>
      </c>
      <c r="C411" s="2">
        <f>IFERROR(__xludf.DUMMYFUNCTION("""COMPUTED_VALUE"""),228.22)</f>
        <v>228.22</v>
      </c>
      <c r="D411" s="2">
        <f>IFERROR(__xludf.DUMMYFUNCTION("""COMPUTED_VALUE"""),219.56)</f>
        <v>219.56</v>
      </c>
      <c r="E411" s="2">
        <f>IFERROR(__xludf.DUMMYFUNCTION("""COMPUTED_VALUE"""),221.1)</f>
        <v>221.1</v>
      </c>
      <c r="F411" s="2">
        <f>IFERROR(__xludf.DUMMYFUNCTION("""COMPUTED_VALUE"""),7.4001182E7)</f>
        <v>74001182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IFERROR(__xludf.DUMMYFUNCTION("""COMPUTED_VALUE"""),222.67)</f>
        <v>222.67</v>
      </c>
      <c r="C412" s="2">
        <f>IFERROR(__xludf.DUMMYFUNCTION("""COMPUTED_VALUE"""),224.66)</f>
        <v>224.66</v>
      </c>
      <c r="D412" s="2">
        <f>IFERROR(__xludf.DUMMYFUNCTION("""COMPUTED_VALUE"""),218.86)</f>
        <v>218.86</v>
      </c>
      <c r="E412" s="2">
        <f>IFERROR(__xludf.DUMMYFUNCTION("""COMPUTED_VALUE"""),223.27)</f>
        <v>223.27</v>
      </c>
      <c r="F412" s="2">
        <f>IFERROR(__xludf.DUMMYFUNCTION("""COMPUTED_VALUE"""),7.0145964E7)</f>
        <v>70145964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IFERROR(__xludf.DUMMYFUNCTION("""COMPUTED_VALUE"""),223.82)</f>
        <v>223.82</v>
      </c>
      <c r="C413" s="2">
        <f>IFERROR(__xludf.DUMMYFUNCTION("""COMPUTED_VALUE"""),224.8)</f>
        <v>224.8</v>
      </c>
      <c r="D413" s="2">
        <f>IFERROR(__xludf.DUMMYFUNCTION("""COMPUTED_VALUE"""),210.32)</f>
        <v>210.32</v>
      </c>
      <c r="E413" s="2">
        <f>IFERROR(__xludf.DUMMYFUNCTION("""COMPUTED_VALUE"""),210.66)</f>
        <v>210.66</v>
      </c>
      <c r="F413" s="2">
        <f>IFERROR(__xludf.DUMMYFUNCTION("""COMPUTED_VALUE"""),7.9514482E7)</f>
        <v>79514482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IFERROR(__xludf.DUMMYFUNCTION("""COMPUTED_VALUE"""),214.46)</f>
        <v>214.46</v>
      </c>
      <c r="C414" s="2">
        <f>IFERROR(__xludf.DUMMYFUNCTION("""COMPUTED_VALUE"""),221.48)</f>
        <v>221.48</v>
      </c>
      <c r="D414" s="2">
        <f>IFERROR(__xludf.DUMMYFUNCTION("""COMPUTED_VALUE"""),214.21)</f>
        <v>214.21</v>
      </c>
      <c r="E414" s="2">
        <f>IFERROR(__xludf.DUMMYFUNCTION("""COMPUTED_VALUE"""),220.32)</f>
        <v>220.32</v>
      </c>
      <c r="F414" s="2">
        <f>IFERROR(__xludf.DUMMYFUNCTION("""COMPUTED_VALUE"""),8.1525207E7)</f>
        <v>81525207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IFERROR(__xludf.DUMMYFUNCTION("""COMPUTED_VALUE"""),218.75)</f>
        <v>218.75</v>
      </c>
      <c r="C415" s="2">
        <f>IFERROR(__xludf.DUMMYFUNCTION("""COMPUTED_VALUE"""),219.09)</f>
        <v>219.09</v>
      </c>
      <c r="D415" s="2">
        <f>IFERROR(__xludf.DUMMYFUNCTION("""COMPUTED_VALUE"""),211.01)</f>
        <v>211.01</v>
      </c>
      <c r="E415" s="2">
        <f>IFERROR(__xludf.DUMMYFUNCTION("""COMPUTED_VALUE"""),213.21)</f>
        <v>213.21</v>
      </c>
      <c r="F415" s="2">
        <f>IFERROR(__xludf.DUMMYFUNCTION("""COMPUTED_VALUE"""),5.9301187E7)</f>
        <v>59301187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IFERROR(__xludf.DUMMYFUNCTION("""COMPUTED_VALUE"""),213.25)</f>
        <v>213.25</v>
      </c>
      <c r="C416" s="2">
        <f>IFERROR(__xludf.DUMMYFUNCTION("""COMPUTED_VALUE"""),215.66)</f>
        <v>215.66</v>
      </c>
      <c r="D416" s="2">
        <f>IFERROR(__xludf.DUMMYFUNCTION("""COMPUTED_VALUE"""),206.94)</f>
        <v>206.94</v>
      </c>
      <c r="E416" s="2">
        <f>IFERROR(__xludf.DUMMYFUNCTION("""COMPUTED_VALUE"""),209.21)</f>
        <v>209.21</v>
      </c>
      <c r="F416" s="2">
        <f>IFERROR(__xludf.DUMMYFUNCTION("""COMPUTED_VALUE"""),6.282139E7)</f>
        <v>62821390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IFERROR(__xludf.DUMMYFUNCTION("""COMPUTED_VALUE"""),209.72)</f>
        <v>209.72</v>
      </c>
      <c r="C417" s="2">
        <f>IFERROR(__xludf.DUMMYFUNCTION("""COMPUTED_VALUE"""),211.84)</f>
        <v>211.84</v>
      </c>
      <c r="D417" s="2">
        <f>IFERROR(__xludf.DUMMYFUNCTION("""COMPUTED_VALUE"""),202.59)</f>
        <v>202.59</v>
      </c>
      <c r="E417" s="2">
        <f>IFERROR(__xludf.DUMMYFUNCTION("""COMPUTED_VALUE"""),205.75)</f>
        <v>205.75</v>
      </c>
      <c r="F417" s="2">
        <f>IFERROR(__xludf.DUMMYFUNCTION("""COMPUTED_VALUE"""),6.411635E7)</f>
        <v>64116350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IFERROR(__xludf.DUMMYFUNCTION("""COMPUTED_VALUE"""),209.8)</f>
        <v>209.8</v>
      </c>
      <c r="C418" s="2">
        <f>IFERROR(__xludf.DUMMYFUNCTION("""COMPUTED_VALUE"""),214.89)</f>
        <v>214.89</v>
      </c>
      <c r="D418" s="2">
        <f>IFERROR(__xludf.DUMMYFUNCTION("""COMPUTED_VALUE"""),205.97)</f>
        <v>205.97</v>
      </c>
      <c r="E418" s="2">
        <f>IFERROR(__xludf.DUMMYFUNCTION("""COMPUTED_VALUE"""),206.28)</f>
        <v>206.28</v>
      </c>
      <c r="F418" s="2">
        <f>IFERROR(__xludf.DUMMYFUNCTION("""COMPUTED_VALUE"""),6.2308818E7)</f>
        <v>62308818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IFERROR(__xludf.DUMMYFUNCTION("""COMPUTED_VALUE"""),208.63)</f>
        <v>208.63</v>
      </c>
      <c r="C419" s="2">
        <f>IFERROR(__xludf.DUMMYFUNCTION("""COMPUTED_VALUE"""),214.57)</f>
        <v>214.57</v>
      </c>
      <c r="D419" s="2">
        <f>IFERROR(__xludf.DUMMYFUNCTION("""COMPUTED_VALUE"""),207.03)</f>
        <v>207.03</v>
      </c>
      <c r="E419" s="2">
        <f>IFERROR(__xludf.DUMMYFUNCTION("""COMPUTED_VALUE"""),214.11)</f>
        <v>214.11</v>
      </c>
      <c r="F419" s="2">
        <f>IFERROR(__xludf.DUMMYFUNCTION("""COMPUTED_VALUE"""),6.3370608E7)</f>
        <v>63370608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IFERROR(__xludf.DUMMYFUNCTION("""COMPUTED_VALUE"""),215.26)</f>
        <v>215.26</v>
      </c>
      <c r="C420" s="2">
        <f>IFERROR(__xludf.DUMMYFUNCTION("""COMPUTED_VALUE"""),219.9)</f>
        <v>219.9</v>
      </c>
      <c r="D420" s="2">
        <f>IFERROR(__xludf.DUMMYFUNCTION("""COMPUTED_VALUE"""),209.64)</f>
        <v>209.64</v>
      </c>
      <c r="E420" s="2">
        <f>IFERROR(__xludf.DUMMYFUNCTION("""COMPUTED_VALUE"""),210.6)</f>
        <v>210.6</v>
      </c>
      <c r="F420" s="2">
        <f>IFERROR(__xludf.DUMMYFUNCTION("""COMPUTED_VALUE"""),7.6714222E7)</f>
        <v>76714222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IFERROR(__xludf.DUMMYFUNCTION("""COMPUTED_VALUE"""),210.59)</f>
        <v>210.59</v>
      </c>
      <c r="C421" s="2">
        <f>IFERROR(__xludf.DUMMYFUNCTION("""COMPUTED_VALUE"""),222.22)</f>
        <v>222.22</v>
      </c>
      <c r="D421" s="2">
        <f>IFERROR(__xludf.DUMMYFUNCTION("""COMPUTED_VALUE"""),210.57)</f>
        <v>210.57</v>
      </c>
      <c r="E421" s="2">
        <f>IFERROR(__xludf.DUMMYFUNCTION("""COMPUTED_VALUE"""),219.41)</f>
        <v>219.41</v>
      </c>
      <c r="F421" s="2">
        <f>IFERROR(__xludf.DUMMYFUNCTION("""COMPUTED_VALUE"""),8.0651767E7)</f>
        <v>80651767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IFERROR(__xludf.DUMMYFUNCTION("""COMPUTED_VALUE"""),223.49)</f>
        <v>223.49</v>
      </c>
      <c r="C422" s="2">
        <f>IFERROR(__xludf.DUMMYFUNCTION("""COMPUTED_VALUE"""),235.0)</f>
        <v>235</v>
      </c>
      <c r="D422" s="2">
        <f>IFERROR(__xludf.DUMMYFUNCTION("""COMPUTED_VALUE"""),222.25)</f>
        <v>222.25</v>
      </c>
      <c r="E422" s="2">
        <f>IFERROR(__xludf.DUMMYFUNCTION("""COMPUTED_VALUE"""),230.17)</f>
        <v>230.17</v>
      </c>
      <c r="F422" s="2">
        <f>IFERROR(__xludf.DUMMYFUNCTION("""COMPUTED_VALUE"""),1.19355013E8)</f>
        <v>119355013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IFERROR(__xludf.DUMMYFUNCTION("""COMPUTED_VALUE"""),232.6)</f>
        <v>232.6</v>
      </c>
      <c r="C423" s="2">
        <f>IFERROR(__xludf.DUMMYFUNCTION("""COMPUTED_VALUE"""),233.6)</f>
        <v>233.6</v>
      </c>
      <c r="D423" s="2">
        <f>IFERROR(__xludf.DUMMYFUNCTION("""COMPUTED_VALUE"""),210.51)</f>
        <v>210.51</v>
      </c>
      <c r="E423" s="2">
        <f>IFERROR(__xludf.DUMMYFUNCTION("""COMPUTED_VALUE"""),210.73)</f>
        <v>210.73</v>
      </c>
      <c r="F423" s="2">
        <f>IFERROR(__xludf.DUMMYFUNCTION("""COMPUTED_VALUE"""),1.12177004E8)</f>
        <v>112177004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IFERROR(__xludf.DUMMYFUNCTION("""COMPUTED_VALUE"""),216.2)</f>
        <v>216.2</v>
      </c>
      <c r="C424" s="2">
        <f>IFERROR(__xludf.DUMMYFUNCTION("""COMPUTED_VALUE"""),219.87)</f>
        <v>219.87</v>
      </c>
      <c r="D424" s="2">
        <f>IFERROR(__xludf.DUMMYFUNCTION("""COMPUTED_VALUE"""),213.67)</f>
        <v>213.67</v>
      </c>
      <c r="E424" s="2">
        <f>IFERROR(__xludf.DUMMYFUNCTION("""COMPUTED_VALUE"""),216.27)</f>
        <v>216.27</v>
      </c>
      <c r="F424" s="2">
        <f>IFERROR(__xludf.DUMMYFUNCTION("""COMPUTED_VALUE"""),6.7443518E7)</f>
        <v>67443518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IFERROR(__xludf.DUMMYFUNCTION("""COMPUTED_VALUE"""),220.07)</f>
        <v>220.07</v>
      </c>
      <c r="C425" s="2">
        <f>IFERROR(__xludf.DUMMYFUNCTION("""COMPUTED_VALUE"""),226.4)</f>
        <v>226.4</v>
      </c>
      <c r="D425" s="2">
        <f>IFERROR(__xludf.DUMMYFUNCTION("""COMPUTED_VALUE"""),218.64)</f>
        <v>218.64</v>
      </c>
      <c r="E425" s="2">
        <f>IFERROR(__xludf.DUMMYFUNCTION("""COMPUTED_VALUE"""),226.17)</f>
        <v>226.17</v>
      </c>
      <c r="F425" s="2">
        <f>IFERROR(__xludf.DUMMYFUNCTION("""COMPUTED_VALUE"""),7.8891136E7)</f>
        <v>78891136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IFERROR(__xludf.DUMMYFUNCTION("""COMPUTED_VALUE"""),224.55)</f>
        <v>224.55</v>
      </c>
      <c r="C426" s="2">
        <f>IFERROR(__xludf.DUMMYFUNCTION("""COMPUTED_VALUE"""),228.47)</f>
        <v>228.47</v>
      </c>
      <c r="D426" s="2">
        <f>IFERROR(__xludf.DUMMYFUNCTION("""COMPUTED_VALUE"""),216.8)</f>
        <v>216.8</v>
      </c>
      <c r="E426" s="2">
        <f>IFERROR(__xludf.DUMMYFUNCTION("""COMPUTED_VALUE"""),228.13)</f>
        <v>228.13</v>
      </c>
      <c r="F426" s="2">
        <f>IFERROR(__xludf.DUMMYFUNCTION("""COMPUTED_VALUE"""),8.3548633E7)</f>
        <v>83548633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IFERROR(__xludf.DUMMYFUNCTION("""COMPUTED_VALUE"""),224.66)</f>
        <v>224.66</v>
      </c>
      <c r="C427" s="2">
        <f>IFERROR(__xludf.DUMMYFUNCTION("""COMPUTED_VALUE"""),231.45)</f>
        <v>231.45</v>
      </c>
      <c r="D427" s="2">
        <f>IFERROR(__xludf.DUMMYFUNCTION("""COMPUTED_VALUE"""),223.83)</f>
        <v>223.83</v>
      </c>
      <c r="E427" s="2">
        <f>IFERROR(__xludf.DUMMYFUNCTION("""COMPUTED_VALUE"""),229.81)</f>
        <v>229.81</v>
      </c>
      <c r="F427" s="2">
        <f>IFERROR(__xludf.DUMMYFUNCTION("""COMPUTED_VALUE"""),7.2020042E7)</f>
        <v>72020042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IFERROR(__xludf.DUMMYFUNCTION("""COMPUTED_VALUE"""),228.0)</f>
        <v>228</v>
      </c>
      <c r="C428" s="2">
        <f>IFERROR(__xludf.DUMMYFUNCTION("""COMPUTED_VALUE"""),232.67)</f>
        <v>232.67</v>
      </c>
      <c r="D428" s="2">
        <f>IFERROR(__xludf.DUMMYFUNCTION("""COMPUTED_VALUE"""),226.32)</f>
        <v>226.32</v>
      </c>
      <c r="E428" s="2">
        <f>IFERROR(__xludf.DUMMYFUNCTION("""COMPUTED_VALUE"""),230.29)</f>
        <v>230.29</v>
      </c>
      <c r="F428" s="2">
        <f>IFERROR(__xludf.DUMMYFUNCTION("""COMPUTED_VALUE"""),5.9515114E7)</f>
        <v>59515114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IFERROR(__xludf.DUMMYFUNCTION("""COMPUTED_VALUE"""),229.3)</f>
        <v>229.3</v>
      </c>
      <c r="C429" s="2">
        <f>IFERROR(__xludf.DUMMYFUNCTION("""COMPUTED_VALUE"""),229.96)</f>
        <v>229.96</v>
      </c>
      <c r="D429" s="2">
        <f>IFERROR(__xludf.DUMMYFUNCTION("""COMPUTED_VALUE"""),223.53)</f>
        <v>223.53</v>
      </c>
      <c r="E429" s="2">
        <f>IFERROR(__xludf.DUMMYFUNCTION("""COMPUTED_VALUE"""),226.78)</f>
        <v>226.78</v>
      </c>
      <c r="F429" s="2">
        <f>IFERROR(__xludf.DUMMYFUNCTION("""COMPUTED_VALUE"""),5.4322995E7)</f>
        <v>54322995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IFERROR(__xludf.DUMMYFUNCTION("""COMPUTED_VALUE"""),229.45)</f>
        <v>229.45</v>
      </c>
      <c r="C430" s="2">
        <f>IFERROR(__xludf.DUMMYFUNCTION("""COMPUTED_VALUE"""),234.57)</f>
        <v>234.57</v>
      </c>
      <c r="D430" s="2">
        <f>IFERROR(__xludf.DUMMYFUNCTION("""COMPUTED_VALUE"""),226.55)</f>
        <v>226.55</v>
      </c>
      <c r="E430" s="2">
        <f>IFERROR(__xludf.DUMMYFUNCTION("""COMPUTED_VALUE"""),227.87)</f>
        <v>227.87</v>
      </c>
      <c r="F430" s="2">
        <f>IFERROR(__xludf.DUMMYFUNCTION("""COMPUTED_VALUE"""),6.6761636E7)</f>
        <v>66761636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IFERROR(__xludf.DUMMYFUNCTION("""COMPUTED_VALUE"""),230.09)</f>
        <v>230.09</v>
      </c>
      <c r="C431" s="2">
        <f>IFERROR(__xludf.DUMMYFUNCTION("""COMPUTED_VALUE"""),235.68)</f>
        <v>235.68</v>
      </c>
      <c r="D431" s="2">
        <f>IFERROR(__xludf.DUMMYFUNCTION("""COMPUTED_VALUE"""),226.88)</f>
        <v>226.88</v>
      </c>
      <c r="E431" s="2">
        <f>IFERROR(__xludf.DUMMYFUNCTION("""COMPUTED_VALUE"""),227.2)</f>
        <v>227.2</v>
      </c>
      <c r="F431" s="2">
        <f>IFERROR(__xludf.DUMMYFUNCTION("""COMPUTED_VALUE"""),7.8010204E7)</f>
        <v>78010204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IFERROR(__xludf.DUMMYFUNCTION("""COMPUTED_VALUE"""),234.0)</f>
        <v>234</v>
      </c>
      <c r="C432" s="2">
        <f>IFERROR(__xludf.DUMMYFUNCTION("""COMPUTED_VALUE"""),244.24)</f>
        <v>244.24</v>
      </c>
      <c r="D432" s="2">
        <f>IFERROR(__xludf.DUMMYFUNCTION("""COMPUTED_VALUE"""),232.13)</f>
        <v>232.13</v>
      </c>
      <c r="E432" s="2">
        <f>IFERROR(__xludf.DUMMYFUNCTION("""COMPUTED_VALUE"""),243.92)</f>
        <v>243.92</v>
      </c>
      <c r="F432" s="2">
        <f>IFERROR(__xludf.DUMMYFUNCTION("""COMPUTED_VALUE"""),1.02694576E8)</f>
        <v>102694576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IFERROR(__xludf.DUMMYFUNCTION("""COMPUTED_VALUE"""),241.52)</f>
        <v>241.52</v>
      </c>
      <c r="C433" s="2">
        <f>IFERROR(__xludf.DUMMYFUNCTION("""COMPUTED_VALUE"""),243.99)</f>
        <v>243.99</v>
      </c>
      <c r="D433" s="2">
        <f>IFERROR(__xludf.DUMMYFUNCTION("""COMPUTED_VALUE"""),235.92)</f>
        <v>235.92</v>
      </c>
      <c r="E433" s="2">
        <f>IFERROR(__xludf.DUMMYFUNCTION("""COMPUTED_VALUE"""),238.25)</f>
        <v>238.25</v>
      </c>
      <c r="F433" s="2">
        <f>IFERROR(__xludf.DUMMYFUNCTION("""COMPUTED_VALUE"""),9.987907E7)</f>
        <v>99879070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IFERROR(__xludf.DUMMYFUNCTION("""COMPUTED_VALUE"""),242.61)</f>
        <v>242.61</v>
      </c>
      <c r="C434" s="2">
        <f>IFERROR(__xludf.DUMMYFUNCTION("""COMPUTED_VALUE"""),250.0)</f>
        <v>250</v>
      </c>
      <c r="D434" s="2">
        <f>IFERROR(__xludf.DUMMYFUNCTION("""COMPUTED_VALUE"""),241.92)</f>
        <v>241.92</v>
      </c>
      <c r="E434" s="2">
        <f>IFERROR(__xludf.DUMMYFUNCTION("""COMPUTED_VALUE"""),250.0)</f>
        <v>250</v>
      </c>
      <c r="F434" s="2">
        <f>IFERROR(__xludf.DUMMYFUNCTION("""COMPUTED_VALUE"""),8.6927194E7)</f>
        <v>86927194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IFERROR(__xludf.DUMMYFUNCTION("""COMPUTED_VALUE"""),254.08)</f>
        <v>254.08</v>
      </c>
      <c r="C435" s="2">
        <f>IFERROR(__xludf.DUMMYFUNCTION("""COMPUTED_VALUE"""),257.19)</f>
        <v>257.19</v>
      </c>
      <c r="D435" s="2">
        <f>IFERROR(__xludf.DUMMYFUNCTION("""COMPUTED_VALUE"""),249.05)</f>
        <v>249.05</v>
      </c>
      <c r="E435" s="2">
        <f>IFERROR(__xludf.DUMMYFUNCTION("""COMPUTED_VALUE"""),254.27)</f>
        <v>254.27</v>
      </c>
      <c r="F435" s="2">
        <f>IFERROR(__xludf.DUMMYFUNCTION("""COMPUTED_VALUE"""),8.8490999E7)</f>
        <v>88490999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IFERROR(__xludf.DUMMYFUNCTION("""COMPUTED_VALUE"""),252.54)</f>
        <v>252.54</v>
      </c>
      <c r="C436" s="2">
        <f>IFERROR(__xludf.DUMMYFUNCTION("""COMPUTED_VALUE"""),257.05)</f>
        <v>257.05</v>
      </c>
      <c r="D436" s="2">
        <f>IFERROR(__xludf.DUMMYFUNCTION("""COMPUTED_VALUE"""),252.28)</f>
        <v>252.28</v>
      </c>
      <c r="E436" s="2">
        <f>IFERROR(__xludf.DUMMYFUNCTION("""COMPUTED_VALUE"""),257.02)</f>
        <v>257.02</v>
      </c>
      <c r="F436" s="2">
        <f>IFERROR(__xludf.DUMMYFUNCTION("""COMPUTED_VALUE"""),6.5034318E7)</f>
        <v>65034318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IFERROR(__xludf.DUMMYFUNCTION("""COMPUTED_VALUE"""),260.6)</f>
        <v>260.6</v>
      </c>
      <c r="C437" s="2">
        <f>IFERROR(__xludf.DUMMYFUNCTION("""COMPUTED_VALUE"""),261.75)</f>
        <v>261.75</v>
      </c>
      <c r="D437" s="2">
        <f>IFERROR(__xludf.DUMMYFUNCTION("""COMPUTED_VALUE"""),251.53)</f>
        <v>251.53</v>
      </c>
      <c r="E437" s="2">
        <f>IFERROR(__xludf.DUMMYFUNCTION("""COMPUTED_VALUE"""),254.22)</f>
        <v>254.22</v>
      </c>
      <c r="F437" s="2">
        <f>IFERROR(__xludf.DUMMYFUNCTION("""COMPUTED_VALUE"""),6.7142193E7)</f>
        <v>67142193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IFERROR(__xludf.DUMMYFUNCTION("""COMPUTED_VALUE"""),257.38)</f>
        <v>257.38</v>
      </c>
      <c r="C438" s="2">
        <f>IFERROR(__xludf.DUMMYFUNCTION("""COMPUTED_VALUE"""),260.7)</f>
        <v>260.7</v>
      </c>
      <c r="D438" s="2">
        <f>IFERROR(__xludf.DUMMYFUNCTION("""COMPUTED_VALUE"""),254.12)</f>
        <v>254.12</v>
      </c>
      <c r="E438" s="2">
        <f>IFERROR(__xludf.DUMMYFUNCTION("""COMPUTED_VALUE"""),260.46)</f>
        <v>260.46</v>
      </c>
      <c r="F438" s="2">
        <f>IFERROR(__xludf.DUMMYFUNCTION("""COMPUTED_VALUE"""),7.0988067E7)</f>
        <v>70988067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IFERROR(__xludf.DUMMYFUNCTION("""COMPUTED_VALUE"""),259.04)</f>
        <v>259.04</v>
      </c>
      <c r="C439" s="2">
        <f>IFERROR(__xludf.DUMMYFUNCTION("""COMPUTED_VALUE"""),264.86)</f>
        <v>264.86</v>
      </c>
      <c r="D439" s="2">
        <f>IFERROR(__xludf.DUMMYFUNCTION("""COMPUTED_VALUE"""),255.77)</f>
        <v>255.77</v>
      </c>
      <c r="E439" s="2">
        <f>IFERROR(__xludf.DUMMYFUNCTION("""COMPUTED_VALUE"""),261.63)</f>
        <v>261.63</v>
      </c>
      <c r="F439" s="2">
        <f>IFERROR(__xludf.DUMMYFUNCTION("""COMPUTED_VALUE"""),8.0873381E7)</f>
        <v>80873381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IFERROR(__xludf.DUMMYFUNCTION("""COMPUTED_VALUE"""),262.67)</f>
        <v>262.67</v>
      </c>
      <c r="C440" s="2">
        <f>IFERROR(__xludf.DUMMYFUNCTION("""COMPUTED_VALUE"""),263.98)</f>
        <v>263.98</v>
      </c>
      <c r="D440" s="2">
        <f>IFERROR(__xludf.DUMMYFUNCTION("""COMPUTED_VALUE"""),248.53)</f>
        <v>248.53</v>
      </c>
      <c r="E440" s="2">
        <f>IFERROR(__xludf.DUMMYFUNCTION("""COMPUTED_VALUE"""),258.02)</f>
        <v>258.02</v>
      </c>
      <c r="F440" s="2">
        <f>IFERROR(__xludf.DUMMYFUNCTION("""COMPUTED_VALUE"""),8.7397613E7)</f>
        <v>87397613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IFERROR(__xludf.DUMMYFUNCTION("""COMPUTED_VALUE"""),247.55)</f>
        <v>247.55</v>
      </c>
      <c r="C441" s="2">
        <f>IFERROR(__xludf.DUMMYFUNCTION("""COMPUTED_VALUE"""),251.16)</f>
        <v>251.16</v>
      </c>
      <c r="D441" s="2">
        <f>IFERROR(__xludf.DUMMYFUNCTION("""COMPUTED_VALUE"""),241.5)</f>
        <v>241.5</v>
      </c>
      <c r="E441" s="2">
        <f>IFERROR(__xludf.DUMMYFUNCTION("""COMPUTED_VALUE"""),249.02)</f>
        <v>249.02</v>
      </c>
      <c r="F441" s="2">
        <f>IFERROR(__xludf.DUMMYFUNCTION("""COMPUTED_VALUE"""),9.398393E7)</f>
        <v>93983930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IFERROR(__xludf.DUMMYFUNCTION("""COMPUTED_VALUE"""),244.48)</f>
        <v>244.48</v>
      </c>
      <c r="C442" s="2">
        <f>IFERROR(__xludf.DUMMYFUNCTION("""COMPUTED_VALUE"""),249.79)</f>
        <v>249.79</v>
      </c>
      <c r="D442" s="2">
        <f>IFERROR(__xludf.DUMMYFUNCTION("""COMPUTED_VALUE"""),237.81)</f>
        <v>237.81</v>
      </c>
      <c r="E442" s="2">
        <f>IFERROR(__xludf.DUMMYFUNCTION("""COMPUTED_VALUE"""),240.66)</f>
        <v>240.66</v>
      </c>
      <c r="F442" s="2">
        <f>IFERROR(__xludf.DUMMYFUNCTION("""COMPUTED_VALUE"""),8.072924E7)</f>
        <v>80729240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IFERROR(__xludf.DUMMYFUNCTION("""COMPUTED_VALUE"""),246.69)</f>
        <v>246.69</v>
      </c>
      <c r="C443" s="2">
        <f>IFERROR(__xludf.DUMMYFUNCTION("""COMPUTED_VALUE"""),250.96)</f>
        <v>250.96</v>
      </c>
      <c r="D443" s="2">
        <f>IFERROR(__xludf.DUMMYFUNCTION("""COMPUTED_VALUE"""),244.58)</f>
        <v>244.58</v>
      </c>
      <c r="E443" s="2">
        <f>IFERROR(__xludf.DUMMYFUNCTION("""COMPUTED_VALUE"""),250.08)</f>
        <v>250.08</v>
      </c>
      <c r="F443" s="2">
        <f>IFERROR(__xludf.DUMMYFUNCTION("""COMPUTED_VALUE"""),8.6726285E7)</f>
        <v>86726285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IFERROR(__xludf.DUMMYFUNCTION("""COMPUTED_VALUE"""),249.0)</f>
        <v>249</v>
      </c>
      <c r="C444" s="2">
        <f>IFERROR(__xludf.DUMMYFUNCTION("""COMPUTED_VALUE"""),249.83)</f>
        <v>249.83</v>
      </c>
      <c r="D444" s="2">
        <f>IFERROR(__xludf.DUMMYFUNCTION("""COMPUTED_VALUE"""),240.7)</f>
        <v>240.7</v>
      </c>
      <c r="E444" s="2">
        <f>IFERROR(__xludf.DUMMYFUNCTION("""COMPUTED_VALUE"""),240.83)</f>
        <v>240.83</v>
      </c>
      <c r="F444" s="2">
        <f>IFERROR(__xludf.DUMMYFUNCTION("""COMPUTED_VALUE"""),6.811327E7)</f>
        <v>68113270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IFERROR(__xludf.DUMMYFUNCTION("""COMPUTED_VALUE"""),243.56)</f>
        <v>243.56</v>
      </c>
      <c r="C445" s="2">
        <f>IFERROR(__xludf.DUMMYFUNCTION("""COMPUTED_VALUE"""),246.21)</f>
        <v>246.21</v>
      </c>
      <c r="D445" s="2">
        <f>IFERROR(__xludf.DUMMYFUNCTION("""COMPUTED_VALUE"""),240.56)</f>
        <v>240.56</v>
      </c>
      <c r="E445" s="2">
        <f>IFERROR(__xludf.DUMMYFUNCTION("""COMPUTED_VALUE"""),244.5)</f>
        <v>244.5</v>
      </c>
      <c r="F445" s="2">
        <f>IFERROR(__xludf.DUMMYFUNCTION("""COMPUTED_VALUE"""),5.630316E7)</f>
        <v>56303160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IFERROR(__xludf.DUMMYFUNCTION("""COMPUTED_VALUE"""),243.82)</f>
        <v>243.82</v>
      </c>
      <c r="C446" s="2">
        <f>IFERROR(__xludf.DUMMYFUNCTION("""COMPUTED_VALUE"""),247.43)</f>
        <v>247.43</v>
      </c>
      <c r="D446" s="2">
        <f>IFERROR(__xludf.DUMMYFUNCTION("""COMPUTED_VALUE"""),239.51)</f>
        <v>239.51</v>
      </c>
      <c r="E446" s="2">
        <f>IFERROR(__xludf.DUMMYFUNCTION("""COMPUTED_VALUE"""),241.05)</f>
        <v>241.05</v>
      </c>
      <c r="F446" s="2">
        <f>IFERROR(__xludf.DUMMYFUNCTION("""COMPUTED_VALUE"""),6.6289529E7)</f>
        <v>66289529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IFERROR(__xludf.DUMMYFUNCTION("""COMPUTED_VALUE"""),241.81)</f>
        <v>241.81</v>
      </c>
      <c r="C447" s="2">
        <f>IFERROR(__xludf.DUMMYFUNCTION("""COMPUTED_VALUE"""),242.79)</f>
        <v>242.79</v>
      </c>
      <c r="D447" s="2">
        <f>IFERROR(__xludf.DUMMYFUNCTION("""COMPUTED_VALUE"""),232.34)</f>
        <v>232.34</v>
      </c>
      <c r="E447" s="2">
        <f>IFERROR(__xludf.DUMMYFUNCTION("""COMPUTED_VALUE"""),238.77)</f>
        <v>238.77</v>
      </c>
      <c r="F447" s="2">
        <f>IFERROR(__xludf.DUMMYFUNCTION("""COMPUTED_VALUE"""),8.3087063E7)</f>
        <v>83087063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IFERROR(__xludf.DUMMYFUNCTION("""COMPUTED_VALUE"""),220.13)</f>
        <v>220.13</v>
      </c>
      <c r="C448" s="2">
        <f>IFERROR(__xludf.DUMMYFUNCTION("""COMPUTED_VALUE"""),223.34)</f>
        <v>223.34</v>
      </c>
      <c r="D448" s="2">
        <f>IFERROR(__xludf.DUMMYFUNCTION("""COMPUTED_VALUE"""),214.38)</f>
        <v>214.38</v>
      </c>
      <c r="E448" s="2">
        <f>IFERROR(__xludf.DUMMYFUNCTION("""COMPUTED_VALUE"""),217.8)</f>
        <v>217.8</v>
      </c>
      <c r="F448" s="2">
        <f>IFERROR(__xludf.DUMMYFUNCTION("""COMPUTED_VALUE"""),1.42628874E8)</f>
        <v>142628874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IFERROR(__xludf.DUMMYFUNCTION("""COMPUTED_VALUE"""),220.13)</f>
        <v>220.13</v>
      </c>
      <c r="C449" s="2">
        <f>IFERROR(__xludf.DUMMYFUNCTION("""COMPUTED_VALUE"""),221.91)</f>
        <v>221.91</v>
      </c>
      <c r="D449" s="2">
        <f>IFERROR(__xludf.DUMMYFUNCTION("""COMPUTED_VALUE"""),213.74)</f>
        <v>213.74</v>
      </c>
      <c r="E449" s="2">
        <f>IFERROR(__xludf.DUMMYFUNCTION("""COMPUTED_VALUE"""),219.16)</f>
        <v>219.16</v>
      </c>
      <c r="F449" s="2">
        <f>IFERROR(__xludf.DUMMYFUNCTION("""COMPUTED_VALUE"""),8.6291923E7)</f>
        <v>86291923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IFERROR(__xludf.DUMMYFUNCTION("""COMPUTED_VALUE"""),220.01)</f>
        <v>220.01</v>
      </c>
      <c r="C450" s="2">
        <f>IFERROR(__xludf.DUMMYFUNCTION("""COMPUTED_VALUE"""),224.26)</f>
        <v>224.26</v>
      </c>
      <c r="D450" s="2">
        <f>IFERROR(__xludf.DUMMYFUNCTION("""COMPUTED_VALUE"""),217.12)</f>
        <v>217.12</v>
      </c>
      <c r="E450" s="2">
        <f>IFERROR(__xludf.DUMMYFUNCTION("""COMPUTED_VALUE"""),219.57)</f>
        <v>219.57</v>
      </c>
      <c r="F450" s="2">
        <f>IFERROR(__xludf.DUMMYFUNCTION("""COMPUTED_VALUE"""),6.2988787E7)</f>
        <v>62988787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IFERROR(__xludf.DUMMYFUNCTION("""COMPUTED_VALUE"""),221.4)</f>
        <v>221.4</v>
      </c>
      <c r="C451" s="2">
        <f>IFERROR(__xludf.DUMMYFUNCTION("""COMPUTED_VALUE"""),222.82)</f>
        <v>222.82</v>
      </c>
      <c r="D451" s="2">
        <f>IFERROR(__xludf.DUMMYFUNCTION("""COMPUTED_VALUE"""),218.93)</f>
        <v>218.93</v>
      </c>
      <c r="E451" s="2">
        <f>IFERROR(__xludf.DUMMYFUNCTION("""COMPUTED_VALUE"""),221.33)</f>
        <v>221.33</v>
      </c>
      <c r="F451" s="2">
        <f>IFERROR(__xludf.DUMMYFUNCTION("""COMPUTED_VALUE"""),4.9632824E7)</f>
        <v>49632824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IFERROR(__xludf.DUMMYFUNCTION("""COMPUTED_VALUE"""),221.59)</f>
        <v>221.59</v>
      </c>
      <c r="C452" s="2">
        <f>IFERROR(__xludf.DUMMYFUNCTION("""COMPUTED_VALUE"""),222.08)</f>
        <v>222.08</v>
      </c>
      <c r="D452" s="2">
        <f>IFERROR(__xludf.DUMMYFUNCTION("""COMPUTED_VALUE"""),217.9)</f>
        <v>217.9</v>
      </c>
      <c r="E452" s="2">
        <f>IFERROR(__xludf.DUMMYFUNCTION("""COMPUTED_VALUE"""),220.89)</f>
        <v>220.89</v>
      </c>
      <c r="F452" s="2">
        <f>IFERROR(__xludf.DUMMYFUNCTION("""COMPUTED_VALUE"""),5.0791784E7)</f>
        <v>50791784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IFERROR(__xludf.DUMMYFUNCTION("""COMPUTED_VALUE"""),220.71)</f>
        <v>220.71</v>
      </c>
      <c r="C453" s="2">
        <f>IFERROR(__xludf.DUMMYFUNCTION("""COMPUTED_VALUE"""),222.28)</f>
        <v>222.28</v>
      </c>
      <c r="D453" s="2">
        <f>IFERROR(__xludf.DUMMYFUNCTION("""COMPUTED_VALUE"""),219.23)</f>
        <v>219.23</v>
      </c>
      <c r="E453" s="2">
        <f>IFERROR(__xludf.DUMMYFUNCTION("""COMPUTED_VALUE"""),220.7)</f>
        <v>220.7</v>
      </c>
      <c r="F453" s="2">
        <f>IFERROR(__xludf.DUMMYFUNCTION("""COMPUTED_VALUE"""),4.9611867E7)</f>
        <v>49611867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IFERROR(__xludf.DUMMYFUNCTION("""COMPUTED_VALUE"""),218.9)</f>
        <v>218.9</v>
      </c>
      <c r="C454" s="2">
        <f>IFERROR(__xludf.DUMMYFUNCTION("""COMPUTED_VALUE"""),220.48)</f>
        <v>220.48</v>
      </c>
      <c r="D454" s="2">
        <f>IFERROR(__xludf.DUMMYFUNCTION("""COMPUTED_VALUE"""),215.73)</f>
        <v>215.73</v>
      </c>
      <c r="E454" s="2">
        <f>IFERROR(__xludf.DUMMYFUNCTION("""COMPUTED_VALUE"""),218.85)</f>
        <v>218.85</v>
      </c>
      <c r="F454" s="2">
        <f>IFERROR(__xludf.DUMMYFUNCTION("""COMPUTED_VALUE"""),4.7328988E7)</f>
        <v>47328988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IFERROR(__xludf.DUMMYFUNCTION("""COMPUTED_VALUE"""),217.31)</f>
        <v>217.31</v>
      </c>
      <c r="C455" s="2">
        <f>IFERROR(__xludf.DUMMYFUNCTION("""COMPUTED_VALUE"""),218.22)</f>
        <v>218.22</v>
      </c>
      <c r="D455" s="2">
        <f>IFERROR(__xludf.DUMMYFUNCTION("""COMPUTED_VALUE"""),215.26)</f>
        <v>215.26</v>
      </c>
      <c r="E455" s="2">
        <f>IFERROR(__xludf.DUMMYFUNCTION("""COMPUTED_VALUE"""),217.97)</f>
        <v>217.97</v>
      </c>
      <c r="F455" s="2">
        <f>IFERROR(__xludf.DUMMYFUNCTION("""COMPUTED_VALUE"""),4.3268741E7)</f>
        <v>43268741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IFERROR(__xludf.DUMMYFUNCTION("""COMPUTED_VALUE"""),217.13)</f>
        <v>217.13</v>
      </c>
      <c r="C456" s="2">
        <f>IFERROR(__xludf.DUMMYFUNCTION("""COMPUTED_VALUE"""),218.72)</f>
        <v>218.72</v>
      </c>
      <c r="D456" s="2">
        <f>IFERROR(__xludf.DUMMYFUNCTION("""COMPUTED_VALUE"""),212.11)</f>
        <v>212.11</v>
      </c>
      <c r="E456" s="2">
        <f>IFERROR(__xludf.DUMMYFUNCTION("""COMPUTED_VALUE"""),213.65)</f>
        <v>213.65</v>
      </c>
      <c r="F456" s="2">
        <f>IFERROR(__xludf.DUMMYFUNCTION("""COMPUTED_VALUE"""),8.0938892E7)</f>
        <v>80938892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IFERROR(__xludf.DUMMYFUNCTION("""COMPUTED_VALUE"""),244.68)</f>
        <v>244.68</v>
      </c>
      <c r="C457" s="2">
        <f>IFERROR(__xludf.DUMMYFUNCTION("""COMPUTED_VALUE"""),262.12)</f>
        <v>262.12</v>
      </c>
      <c r="D457" s="2">
        <f>IFERROR(__xludf.DUMMYFUNCTION("""COMPUTED_VALUE"""),242.65)</f>
        <v>242.65</v>
      </c>
      <c r="E457" s="2">
        <f>IFERROR(__xludf.DUMMYFUNCTION("""COMPUTED_VALUE"""),260.48)</f>
        <v>260.48</v>
      </c>
      <c r="F457" s="2">
        <f>IFERROR(__xludf.DUMMYFUNCTION("""COMPUTED_VALUE"""),2.04491903E8)</f>
        <v>204491903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IFERROR(__xludf.DUMMYFUNCTION("""COMPUTED_VALUE"""),256.01)</f>
        <v>256.01</v>
      </c>
      <c r="C458" s="2">
        <f>IFERROR(__xludf.DUMMYFUNCTION("""COMPUTED_VALUE"""),269.49)</f>
        <v>269.49</v>
      </c>
      <c r="D458" s="2">
        <f>IFERROR(__xludf.DUMMYFUNCTION("""COMPUTED_VALUE"""),255.32)</f>
        <v>255.32</v>
      </c>
      <c r="E458" s="2">
        <f>IFERROR(__xludf.DUMMYFUNCTION("""COMPUTED_VALUE"""),269.19)</f>
        <v>269.19</v>
      </c>
      <c r="F458" s="2">
        <f>IFERROR(__xludf.DUMMYFUNCTION("""COMPUTED_VALUE"""),1.61611931E8)</f>
        <v>161611931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IFERROR(__xludf.DUMMYFUNCTION("""COMPUTED_VALUE"""),270.0)</f>
        <v>270</v>
      </c>
      <c r="C459" s="2">
        <f>IFERROR(__xludf.DUMMYFUNCTION("""COMPUTED_VALUE"""),273.54)</f>
        <v>273.54</v>
      </c>
      <c r="D459" s="2">
        <f>IFERROR(__xludf.DUMMYFUNCTION("""COMPUTED_VALUE"""),262.24)</f>
        <v>262.24</v>
      </c>
      <c r="E459" s="2">
        <f>IFERROR(__xludf.DUMMYFUNCTION("""COMPUTED_VALUE"""),262.51)</f>
        <v>262.51</v>
      </c>
      <c r="F459" s="2">
        <f>IFERROR(__xludf.DUMMYFUNCTION("""COMPUTED_VALUE"""),1.07653603E8)</f>
        <v>107653603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IFERROR(__xludf.DUMMYFUNCTION("""COMPUTED_VALUE"""),264.51)</f>
        <v>264.51</v>
      </c>
      <c r="C460" s="2">
        <f>IFERROR(__xludf.DUMMYFUNCTION("""COMPUTED_VALUE"""),264.98)</f>
        <v>264.98</v>
      </c>
      <c r="D460" s="2">
        <f>IFERROR(__xludf.DUMMYFUNCTION("""COMPUTED_VALUE"""),255.51)</f>
        <v>255.51</v>
      </c>
      <c r="E460" s="2">
        <f>IFERROR(__xludf.DUMMYFUNCTION("""COMPUTED_VALUE"""),259.52)</f>
        <v>259.52</v>
      </c>
      <c r="F460" s="2">
        <f>IFERROR(__xludf.DUMMYFUNCTION("""COMPUTED_VALUE"""),8.0521751E7)</f>
        <v>80521751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IFERROR(__xludf.DUMMYFUNCTION("""COMPUTED_VALUE"""),258.04)</f>
        <v>258.04</v>
      </c>
      <c r="C461" s="2">
        <f>IFERROR(__xludf.DUMMYFUNCTION("""COMPUTED_VALUE"""),263.35)</f>
        <v>263.35</v>
      </c>
      <c r="D461" s="2">
        <f>IFERROR(__xludf.DUMMYFUNCTION("""COMPUTED_VALUE"""),255.82)</f>
        <v>255.82</v>
      </c>
      <c r="E461" s="2">
        <f>IFERROR(__xludf.DUMMYFUNCTION("""COMPUTED_VALUE"""),257.55)</f>
        <v>257.55</v>
      </c>
      <c r="F461" s="2">
        <f>IFERROR(__xludf.DUMMYFUNCTION("""COMPUTED_VALUE"""),5.3993576E7)</f>
        <v>53993576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IFERROR(__xludf.DUMMYFUNCTION("""COMPUTED_VALUE"""),257.99)</f>
        <v>257.99</v>
      </c>
      <c r="C462" s="2">
        <f>IFERROR(__xludf.DUMMYFUNCTION("""COMPUTED_VALUE"""),259.75)</f>
        <v>259.75</v>
      </c>
      <c r="D462" s="2">
        <f>IFERROR(__xludf.DUMMYFUNCTION("""COMPUTED_VALUE"""),249.25)</f>
        <v>249.25</v>
      </c>
      <c r="E462" s="2">
        <f>IFERROR(__xludf.DUMMYFUNCTION("""COMPUTED_VALUE"""),249.85)</f>
        <v>249.85</v>
      </c>
      <c r="F462" s="2">
        <f>IFERROR(__xludf.DUMMYFUNCTION("""COMPUTED_VALUE"""),6.6575292E7)</f>
        <v>66575292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IFERROR(__xludf.DUMMYFUNCTION("""COMPUTED_VALUE"""),252.04)</f>
        <v>252.04</v>
      </c>
      <c r="C463" s="2">
        <f>IFERROR(__xludf.DUMMYFUNCTION("""COMPUTED_VALUE"""),254.0)</f>
        <v>254</v>
      </c>
      <c r="D463" s="2">
        <f>IFERROR(__xludf.DUMMYFUNCTION("""COMPUTED_VALUE"""),246.63)</f>
        <v>246.63</v>
      </c>
      <c r="E463" s="2">
        <f>IFERROR(__xludf.DUMMYFUNCTION("""COMPUTED_VALUE"""),248.98)</f>
        <v>248.98</v>
      </c>
      <c r="F463" s="2">
        <f>IFERROR(__xludf.DUMMYFUNCTION("""COMPUTED_VALUE"""),5.7544757E7)</f>
        <v>57544757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IFERROR(__xludf.DUMMYFUNCTION("""COMPUTED_VALUE"""),244.56)</f>
        <v>244.56</v>
      </c>
      <c r="C464" s="2">
        <f>IFERROR(__xludf.DUMMYFUNCTION("""COMPUTED_VALUE"""),248.9)</f>
        <v>248.9</v>
      </c>
      <c r="D464" s="2">
        <f>IFERROR(__xludf.DUMMYFUNCTION("""COMPUTED_VALUE"""),238.88)</f>
        <v>238.88</v>
      </c>
      <c r="E464" s="2">
        <f>IFERROR(__xludf.DUMMYFUNCTION("""COMPUTED_VALUE"""),242.84)</f>
        <v>242.84</v>
      </c>
      <c r="F464" s="2">
        <f>IFERROR(__xludf.DUMMYFUNCTION("""COMPUTED_VALUE"""),6.8802354E7)</f>
        <v>68802354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IFERROR(__xludf.DUMMYFUNCTION("""COMPUTED_VALUE"""),247.34)</f>
        <v>247.34</v>
      </c>
      <c r="C465" s="2">
        <f>IFERROR(__xludf.DUMMYFUNCTION("""COMPUTED_VALUE"""),255.28)</f>
        <v>255.28</v>
      </c>
      <c r="D465" s="2">
        <f>IFERROR(__xludf.DUMMYFUNCTION("""COMPUTED_VALUE"""),246.21)</f>
        <v>246.21</v>
      </c>
      <c r="E465" s="2">
        <f>IFERROR(__xludf.DUMMYFUNCTION("""COMPUTED_VALUE"""),251.44)</f>
        <v>251.44</v>
      </c>
      <c r="F465" s="2">
        <f>IFERROR(__xludf.DUMMYFUNCTION("""COMPUTED_VALUE"""),6.9282505E7)</f>
        <v>69282505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IFERROR(__xludf.DUMMYFUNCTION("""COMPUTED_VALUE"""),284.67)</f>
        <v>284.67</v>
      </c>
      <c r="C466" s="2">
        <f>IFERROR(__xludf.DUMMYFUNCTION("""COMPUTED_VALUE"""),289.59)</f>
        <v>289.59</v>
      </c>
      <c r="D466" s="2">
        <f>IFERROR(__xludf.DUMMYFUNCTION("""COMPUTED_VALUE"""),275.62)</f>
        <v>275.62</v>
      </c>
      <c r="E466" s="2">
        <f>IFERROR(__xludf.DUMMYFUNCTION("""COMPUTED_VALUE"""),288.53)</f>
        <v>288.53</v>
      </c>
      <c r="F466" s="2">
        <f>IFERROR(__xludf.DUMMYFUNCTION("""COMPUTED_VALUE"""),1.6522871E8)</f>
        <v>165228710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IFERROR(__xludf.DUMMYFUNCTION("""COMPUTED_VALUE"""),288.89)</f>
        <v>288.89</v>
      </c>
      <c r="C467" s="2">
        <f>IFERROR(__xludf.DUMMYFUNCTION("""COMPUTED_VALUE"""),299.75)</f>
        <v>299.75</v>
      </c>
      <c r="D467" s="2">
        <f>IFERROR(__xludf.DUMMYFUNCTION("""COMPUTED_VALUE"""),285.52)</f>
        <v>285.52</v>
      </c>
      <c r="E467" s="2">
        <f>IFERROR(__xludf.DUMMYFUNCTION("""COMPUTED_VALUE"""),296.91)</f>
        <v>296.91</v>
      </c>
      <c r="F467" s="2">
        <f>IFERROR(__xludf.DUMMYFUNCTION("""COMPUTED_VALUE"""),1.17309232E8)</f>
        <v>117309232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IFERROR(__xludf.DUMMYFUNCTION("""COMPUTED_VALUE"""),299.14)</f>
        <v>299.14</v>
      </c>
      <c r="C468" s="2">
        <f>IFERROR(__xludf.DUMMYFUNCTION("""COMPUTED_VALUE"""),328.71)</f>
        <v>328.71</v>
      </c>
      <c r="D468" s="2">
        <f>IFERROR(__xludf.DUMMYFUNCTION("""COMPUTED_VALUE"""),297.66)</f>
        <v>297.66</v>
      </c>
      <c r="E468" s="2">
        <f>IFERROR(__xludf.DUMMYFUNCTION("""COMPUTED_VALUE"""),321.22)</f>
        <v>321.22</v>
      </c>
      <c r="F468" s="2">
        <f>IFERROR(__xludf.DUMMYFUNCTION("""COMPUTED_VALUE"""),2.04782763E8)</f>
        <v>204782763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IFERROR(__xludf.DUMMYFUNCTION("""COMPUTED_VALUE"""),346.3)</f>
        <v>346.3</v>
      </c>
      <c r="C469" s="2">
        <f>IFERROR(__xludf.DUMMYFUNCTION("""COMPUTED_VALUE"""),358.64)</f>
        <v>358.64</v>
      </c>
      <c r="D469" s="2">
        <f>IFERROR(__xludf.DUMMYFUNCTION("""COMPUTED_VALUE"""),336.0)</f>
        <v>336</v>
      </c>
      <c r="E469" s="2">
        <f>IFERROR(__xludf.DUMMYFUNCTION("""COMPUTED_VALUE"""),350.0)</f>
        <v>350</v>
      </c>
      <c r="F469" s="2">
        <f>IFERROR(__xludf.DUMMYFUNCTION("""COMPUTED_VALUE"""),2.10521625E8)</f>
        <v>210521625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IFERROR(__xludf.DUMMYFUNCTION("""COMPUTED_VALUE"""),342.74)</f>
        <v>342.74</v>
      </c>
      <c r="C470" s="2">
        <f>IFERROR(__xludf.DUMMYFUNCTION("""COMPUTED_VALUE"""),345.84)</f>
        <v>345.84</v>
      </c>
      <c r="D470" s="2">
        <f>IFERROR(__xludf.DUMMYFUNCTION("""COMPUTED_VALUE"""),323.31)</f>
        <v>323.31</v>
      </c>
      <c r="E470" s="2">
        <f>IFERROR(__xludf.DUMMYFUNCTION("""COMPUTED_VALUE"""),328.49)</f>
        <v>328.49</v>
      </c>
      <c r="F470" s="2">
        <f>IFERROR(__xludf.DUMMYFUNCTION("""COMPUTED_VALUE"""),1.55726016E8)</f>
        <v>155726016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IFERROR(__xludf.DUMMYFUNCTION("""COMPUTED_VALUE"""),335.85)</f>
        <v>335.85</v>
      </c>
      <c r="C471" s="2">
        <f>IFERROR(__xludf.DUMMYFUNCTION("""COMPUTED_VALUE"""),344.6)</f>
        <v>344.6</v>
      </c>
      <c r="D471" s="2">
        <f>IFERROR(__xludf.DUMMYFUNCTION("""COMPUTED_VALUE"""),322.5)</f>
        <v>322.5</v>
      </c>
      <c r="E471" s="2">
        <f>IFERROR(__xludf.DUMMYFUNCTION("""COMPUTED_VALUE"""),330.24)</f>
        <v>330.24</v>
      </c>
      <c r="F471" s="2">
        <f>IFERROR(__xludf.DUMMYFUNCTION("""COMPUTED_VALUE"""),1.25405599E8)</f>
        <v>125405599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IFERROR(__xludf.DUMMYFUNCTION("""COMPUTED_VALUE"""),327.69)</f>
        <v>327.69</v>
      </c>
      <c r="C472" s="2">
        <f>IFERROR(__xludf.DUMMYFUNCTION("""COMPUTED_VALUE"""),329.98)</f>
        <v>329.98</v>
      </c>
      <c r="D472" s="2">
        <f>IFERROR(__xludf.DUMMYFUNCTION("""COMPUTED_VALUE"""),310.37)</f>
        <v>310.37</v>
      </c>
      <c r="E472" s="2">
        <f>IFERROR(__xludf.DUMMYFUNCTION("""COMPUTED_VALUE"""),311.18)</f>
        <v>311.18</v>
      </c>
      <c r="F472" s="2">
        <f>IFERROR(__xludf.DUMMYFUNCTION("""COMPUTED_VALUE"""),1.20726109E8)</f>
        <v>120726109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IFERROR(__xludf.DUMMYFUNCTION("""COMPUTED_VALUE"""),310.57)</f>
        <v>310.57</v>
      </c>
      <c r="C473" s="2">
        <f>IFERROR(__xludf.DUMMYFUNCTION("""COMPUTED_VALUE"""),324.68)</f>
        <v>324.68</v>
      </c>
      <c r="D473" s="2">
        <f>IFERROR(__xludf.DUMMYFUNCTION("""COMPUTED_VALUE"""),309.22)</f>
        <v>309.22</v>
      </c>
      <c r="E473" s="2">
        <f>IFERROR(__xludf.DUMMYFUNCTION("""COMPUTED_VALUE"""),320.72)</f>
        <v>320.72</v>
      </c>
      <c r="F473" s="2">
        <f>IFERROR(__xludf.DUMMYFUNCTION("""COMPUTED_VALUE"""),1.14440286E8)</f>
        <v>114440286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IFERROR(__xludf.DUMMYFUNCTION("""COMPUTED_VALUE"""),340.73)</f>
        <v>340.73</v>
      </c>
      <c r="C474" s="2">
        <f>IFERROR(__xludf.DUMMYFUNCTION("""COMPUTED_VALUE"""),348.55)</f>
        <v>348.55</v>
      </c>
      <c r="D474" s="2">
        <f>IFERROR(__xludf.DUMMYFUNCTION("""COMPUTED_VALUE"""),330.01)</f>
        <v>330.01</v>
      </c>
      <c r="E474" s="2">
        <f>IFERROR(__xludf.DUMMYFUNCTION("""COMPUTED_VALUE"""),338.74)</f>
        <v>338.74</v>
      </c>
      <c r="F474" s="2">
        <f>IFERROR(__xludf.DUMMYFUNCTION("""COMPUTED_VALUE"""),1.26547455E8)</f>
        <v>126547455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IFERROR(__xludf.DUMMYFUNCTION("""COMPUTED_VALUE"""),335.76)</f>
        <v>335.76</v>
      </c>
      <c r="C475" s="2">
        <f>IFERROR(__xludf.DUMMYFUNCTION("""COMPUTED_VALUE"""),347.38)</f>
        <v>347.38</v>
      </c>
      <c r="D475" s="2">
        <f>IFERROR(__xludf.DUMMYFUNCTION("""COMPUTED_VALUE"""),332.75)</f>
        <v>332.75</v>
      </c>
      <c r="E475" s="2">
        <f>IFERROR(__xludf.DUMMYFUNCTION("""COMPUTED_VALUE"""),346.0)</f>
        <v>346</v>
      </c>
      <c r="F475" s="2">
        <f>IFERROR(__xludf.DUMMYFUNCTION("""COMPUTED_VALUE"""),8.8852452E7)</f>
        <v>88852452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IFERROR(__xludf.DUMMYFUNCTION("""COMPUTED_VALUE"""),345.0)</f>
        <v>345</v>
      </c>
      <c r="C476" s="2">
        <f>IFERROR(__xludf.DUMMYFUNCTION("""COMPUTED_VALUE"""),346.6)</f>
        <v>346.6</v>
      </c>
      <c r="D476" s="2">
        <f>IFERROR(__xludf.DUMMYFUNCTION("""COMPUTED_VALUE"""),334.3)</f>
        <v>334.3</v>
      </c>
      <c r="E476" s="2">
        <f>IFERROR(__xludf.DUMMYFUNCTION("""COMPUTED_VALUE"""),342.03)</f>
        <v>342.03</v>
      </c>
      <c r="F476" s="2">
        <f>IFERROR(__xludf.DUMMYFUNCTION("""COMPUTED_VALUE"""),6.634065E7)</f>
        <v>66340650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IFERROR(__xludf.DUMMYFUNCTION("""COMPUTED_VALUE"""),343.81)</f>
        <v>343.81</v>
      </c>
      <c r="C477" s="2">
        <f>IFERROR(__xludf.DUMMYFUNCTION("""COMPUTED_VALUE"""),347.99)</f>
        <v>347.99</v>
      </c>
      <c r="D477" s="2">
        <f>IFERROR(__xludf.DUMMYFUNCTION("""COMPUTED_VALUE"""),335.28)</f>
        <v>335.28</v>
      </c>
      <c r="E477" s="2">
        <f>IFERROR(__xludf.DUMMYFUNCTION("""COMPUTED_VALUE"""),339.64)</f>
        <v>339.64</v>
      </c>
      <c r="F477" s="2">
        <f>IFERROR(__xludf.DUMMYFUNCTION("""COMPUTED_VALUE"""),5.8011719E7)</f>
        <v>58011719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IFERROR(__xludf.DUMMYFUNCTION("""COMPUTED_VALUE"""),341.09)</f>
        <v>341.09</v>
      </c>
      <c r="C478" s="2">
        <f>IFERROR(__xludf.DUMMYFUNCTION("""COMPUTED_VALUE"""),361.53)</f>
        <v>361.53</v>
      </c>
      <c r="D478" s="2">
        <f>IFERROR(__xludf.DUMMYFUNCTION("""COMPUTED_VALUE"""),337.7)</f>
        <v>337.7</v>
      </c>
      <c r="E478" s="2">
        <f>IFERROR(__xludf.DUMMYFUNCTION("""COMPUTED_VALUE"""),352.56)</f>
        <v>352.56</v>
      </c>
      <c r="F478" s="2">
        <f>IFERROR(__xludf.DUMMYFUNCTION("""COMPUTED_VALUE"""),8.9140722E7)</f>
        <v>89140722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IFERROR(__xludf.DUMMYFUNCTION("""COMPUTED_VALUE"""),360.14)</f>
        <v>360.14</v>
      </c>
      <c r="C479" s="2">
        <f>IFERROR(__xludf.DUMMYFUNCTION("""COMPUTED_VALUE"""),361.93)</f>
        <v>361.93</v>
      </c>
      <c r="D479" s="2">
        <f>IFERROR(__xludf.DUMMYFUNCTION("""COMPUTED_VALUE"""),338.2)</f>
        <v>338.2</v>
      </c>
      <c r="E479" s="2">
        <f>IFERROR(__xludf.DUMMYFUNCTION("""COMPUTED_VALUE"""),338.59)</f>
        <v>338.59</v>
      </c>
      <c r="F479" s="2">
        <f>IFERROR(__xludf.DUMMYFUNCTION("""COMPUTED_VALUE"""),9.5890899E7)</f>
        <v>95890899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IFERROR(__xludf.DUMMYFUNCTION("""COMPUTED_VALUE"""),341.0)</f>
        <v>341</v>
      </c>
      <c r="C480" s="2">
        <f>IFERROR(__xludf.DUMMYFUNCTION("""COMPUTED_VALUE"""),346.96)</f>
        <v>346.96</v>
      </c>
      <c r="D480" s="2">
        <f>IFERROR(__xludf.DUMMYFUNCTION("""COMPUTED_VALUE"""),335.66)</f>
        <v>335.66</v>
      </c>
      <c r="E480" s="2">
        <f>IFERROR(__xludf.DUMMYFUNCTION("""COMPUTED_VALUE"""),338.23)</f>
        <v>338.23</v>
      </c>
      <c r="F480" s="2">
        <f>IFERROR(__xludf.DUMMYFUNCTION("""COMPUTED_VALUE"""),6.2295857E7)</f>
        <v>62295857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IFERROR(__xludf.DUMMYFUNCTION("""COMPUTED_VALUE"""),341.8)</f>
        <v>341.8</v>
      </c>
      <c r="C481" s="2">
        <f>IFERROR(__xludf.DUMMYFUNCTION("""COMPUTED_VALUE"""),342.55)</f>
        <v>342.55</v>
      </c>
      <c r="D481" s="2">
        <f>IFERROR(__xludf.DUMMYFUNCTION("""COMPUTED_VALUE"""),326.59)</f>
        <v>326.59</v>
      </c>
      <c r="E481" s="2">
        <f>IFERROR(__xludf.DUMMYFUNCTION("""COMPUTED_VALUE"""),332.89)</f>
        <v>332.89</v>
      </c>
      <c r="F481" s="2">
        <f>IFERROR(__xludf.DUMMYFUNCTION("""COMPUTED_VALUE"""),5.7896439E7)</f>
        <v>57896439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IFERROR(__xludf.DUMMYFUNCTION("""COMPUTED_VALUE"""),336.08)</f>
        <v>336.08</v>
      </c>
      <c r="C482" s="2">
        <f>IFERROR(__xludf.DUMMYFUNCTION("""COMPUTED_VALUE"""),345.45)</f>
        <v>345.45</v>
      </c>
      <c r="D482" s="2">
        <f>IFERROR(__xludf.DUMMYFUNCTION("""COMPUTED_VALUE"""),334.65)</f>
        <v>334.65</v>
      </c>
      <c r="E482" s="2">
        <f>IFERROR(__xludf.DUMMYFUNCTION("""COMPUTED_VALUE"""),345.16)</f>
        <v>345.16</v>
      </c>
      <c r="F482" s="2">
        <f>IFERROR(__xludf.DUMMYFUNCTION("""COMPUTED_VALUE"""),3.7167621E7)</f>
        <v>37167621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IFERROR(__xludf.DUMMYFUNCTION("""COMPUTED_VALUE"""),352.38)</f>
        <v>352.38</v>
      </c>
      <c r="C483" s="2">
        <f>IFERROR(__xludf.DUMMYFUNCTION("""COMPUTED_VALUE"""),360.0)</f>
        <v>360</v>
      </c>
      <c r="D483" s="2">
        <f>IFERROR(__xludf.DUMMYFUNCTION("""COMPUTED_VALUE"""),351.15)</f>
        <v>351.15</v>
      </c>
      <c r="E483" s="2">
        <f>IFERROR(__xludf.DUMMYFUNCTION("""COMPUTED_VALUE"""),357.09)</f>
        <v>357.09</v>
      </c>
      <c r="F483" s="2">
        <f>IFERROR(__xludf.DUMMYFUNCTION("""COMPUTED_VALUE"""),7.7986478E7)</f>
        <v>77986478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IFERROR(__xludf.DUMMYFUNCTION("""COMPUTED_VALUE"""),351.8)</f>
        <v>351.8</v>
      </c>
      <c r="C484" s="2">
        <f>IFERROR(__xludf.DUMMYFUNCTION("""COMPUTED_VALUE"""),355.69)</f>
        <v>355.69</v>
      </c>
      <c r="D484" s="2">
        <f>IFERROR(__xludf.DUMMYFUNCTION("""COMPUTED_VALUE"""),348.2)</f>
        <v>348.2</v>
      </c>
      <c r="E484" s="2">
        <f>IFERROR(__xludf.DUMMYFUNCTION("""COMPUTED_VALUE"""),351.42)</f>
        <v>351.42</v>
      </c>
      <c r="F484" s="2">
        <f>IFERROR(__xludf.DUMMYFUNCTION("""COMPUTED_VALUE"""),5.8267196E7)</f>
        <v>58267196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IFERROR(__xludf.DUMMYFUNCTION("""COMPUTED_VALUE"""),353.0)</f>
        <v>353</v>
      </c>
      <c r="C485" s="2">
        <f>IFERROR(__xludf.DUMMYFUNCTION("""COMPUTED_VALUE"""),358.1)</f>
        <v>358.1</v>
      </c>
      <c r="D485" s="2">
        <f>IFERROR(__xludf.DUMMYFUNCTION("""COMPUTED_VALUE"""),348.6)</f>
        <v>348.6</v>
      </c>
      <c r="E485" s="2">
        <f>IFERROR(__xludf.DUMMYFUNCTION("""COMPUTED_VALUE"""),357.93)</f>
        <v>357.93</v>
      </c>
      <c r="F485" s="2">
        <f>IFERROR(__xludf.DUMMYFUNCTION("""COMPUTED_VALUE"""),5.0810874E7)</f>
        <v>50810874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IFERROR(__xludf.DUMMYFUNCTION("""COMPUTED_VALUE"""),359.87)</f>
        <v>359.87</v>
      </c>
      <c r="C486" s="2">
        <f>IFERROR(__xludf.DUMMYFUNCTION("""COMPUTED_VALUE"""),375.43)</f>
        <v>375.43</v>
      </c>
      <c r="D486" s="2">
        <f>IFERROR(__xludf.DUMMYFUNCTION("""COMPUTED_VALUE"""),359.5)</f>
        <v>359.5</v>
      </c>
      <c r="E486" s="2">
        <f>IFERROR(__xludf.DUMMYFUNCTION("""COMPUTED_VALUE"""),369.49)</f>
        <v>369.49</v>
      </c>
      <c r="F486" s="2">
        <f>IFERROR(__xludf.DUMMYFUNCTION("""COMPUTED_VALUE"""),8.1403569E7)</f>
        <v>81403569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IFERROR(__xludf.DUMMYFUNCTION("""COMPUTED_VALUE"""),377.42)</f>
        <v>377.42</v>
      </c>
      <c r="C487" s="2">
        <f>IFERROR(__xludf.DUMMYFUNCTION("""COMPUTED_VALUE"""),389.49)</f>
        <v>389.49</v>
      </c>
      <c r="D487" s="2">
        <f>IFERROR(__xludf.DUMMYFUNCTION("""COMPUTED_VALUE"""),370.8)</f>
        <v>370.8</v>
      </c>
      <c r="E487" s="2">
        <f>IFERROR(__xludf.DUMMYFUNCTION("""COMPUTED_VALUE"""),389.22)</f>
        <v>389.22</v>
      </c>
      <c r="F487" s="2">
        <f>IFERROR(__xludf.DUMMYFUNCTION("""COMPUTED_VALUE"""),8.1455834E7)</f>
        <v>81455834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IFERROR(__xludf.DUMMYFUNCTION("""COMPUTED_VALUE"""),397.61)</f>
        <v>397.61</v>
      </c>
      <c r="C488" s="2">
        <f>IFERROR(__xludf.DUMMYFUNCTION("""COMPUTED_VALUE"""),404.8)</f>
        <v>404.8</v>
      </c>
      <c r="D488" s="2">
        <f>IFERROR(__xludf.DUMMYFUNCTION("""COMPUTED_VALUE"""),378.01)</f>
        <v>378.01</v>
      </c>
      <c r="E488" s="2">
        <f>IFERROR(__xludf.DUMMYFUNCTION("""COMPUTED_VALUE"""),389.79)</f>
        <v>389.79</v>
      </c>
      <c r="F488" s="2">
        <f>IFERROR(__xludf.DUMMYFUNCTION("""COMPUTED_VALUE"""),9.6359173E7)</f>
        <v>96359173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IFERROR(__xludf.DUMMYFUNCTION("""COMPUTED_VALUE"""),392.68)</f>
        <v>392.68</v>
      </c>
      <c r="C489" s="2">
        <f>IFERROR(__xludf.DUMMYFUNCTION("""COMPUTED_VALUE"""),409.73)</f>
        <v>409.73</v>
      </c>
      <c r="D489" s="2">
        <f>IFERROR(__xludf.DUMMYFUNCTION("""COMPUTED_VALUE"""),390.85)</f>
        <v>390.85</v>
      </c>
      <c r="E489" s="2">
        <f>IFERROR(__xludf.DUMMYFUNCTION("""COMPUTED_VALUE"""),400.99)</f>
        <v>400.99</v>
      </c>
      <c r="F489" s="2">
        <f>IFERROR(__xludf.DUMMYFUNCTION("""COMPUTED_VALUE"""),9.7563578E7)</f>
        <v>97563578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IFERROR(__xludf.DUMMYFUNCTION("""COMPUTED_VALUE"""),409.7)</f>
        <v>409.7</v>
      </c>
      <c r="C490" s="2">
        <f>IFERROR(__xludf.DUMMYFUNCTION("""COMPUTED_VALUE"""),424.88)</f>
        <v>424.88</v>
      </c>
      <c r="D490" s="2">
        <f>IFERROR(__xludf.DUMMYFUNCTION("""COMPUTED_VALUE"""),402.38)</f>
        <v>402.38</v>
      </c>
      <c r="E490" s="2">
        <f>IFERROR(__xludf.DUMMYFUNCTION("""COMPUTED_VALUE"""),424.77)</f>
        <v>424.77</v>
      </c>
      <c r="F490" s="2">
        <f>IFERROR(__xludf.DUMMYFUNCTION("""COMPUTED_VALUE"""),1.04287559E8)</f>
        <v>104287559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IFERROR(__xludf.DUMMYFUNCTION("""COMPUTED_VALUE"""),424.84)</f>
        <v>424.84</v>
      </c>
      <c r="C491" s="2">
        <f>IFERROR(__xludf.DUMMYFUNCTION("""COMPUTED_VALUE"""),429.3)</f>
        <v>429.3</v>
      </c>
      <c r="D491" s="2">
        <f>IFERROR(__xludf.DUMMYFUNCTION("""COMPUTED_VALUE"""),415.0)</f>
        <v>415</v>
      </c>
      <c r="E491" s="2">
        <f>IFERROR(__xludf.DUMMYFUNCTION("""COMPUTED_VALUE"""),418.1)</f>
        <v>418.1</v>
      </c>
      <c r="F491" s="2">
        <f>IFERROR(__xludf.DUMMYFUNCTION("""COMPUTED_VALUE"""),8.7752225E7)</f>
        <v>87752225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IFERROR(__xludf.DUMMYFUNCTION("""COMPUTED_VALUE"""),420.0)</f>
        <v>420</v>
      </c>
      <c r="C492" s="2">
        <f>IFERROR(__xludf.DUMMYFUNCTION("""COMPUTED_VALUE"""),436.3)</f>
        <v>436.3</v>
      </c>
      <c r="D492" s="2">
        <f>IFERROR(__xludf.DUMMYFUNCTION("""COMPUTED_VALUE"""),415.71)</f>
        <v>415.71</v>
      </c>
      <c r="E492" s="2">
        <f>IFERROR(__xludf.DUMMYFUNCTION("""COMPUTED_VALUE"""),436.23)</f>
        <v>436.23</v>
      </c>
      <c r="F492" s="2">
        <f>IFERROR(__xludf.DUMMYFUNCTION("""COMPUTED_VALUE"""),8.9000158E7)</f>
        <v>89000158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IFERROR(__xludf.DUMMYFUNCTION("""COMPUTED_VALUE"""),441.09)</f>
        <v>441.09</v>
      </c>
      <c r="C493" s="2">
        <f>IFERROR(__xludf.DUMMYFUNCTION("""COMPUTED_VALUE"""),463.19)</f>
        <v>463.19</v>
      </c>
      <c r="D493" s="2">
        <f>IFERROR(__xludf.DUMMYFUNCTION("""COMPUTED_VALUE"""),436.15)</f>
        <v>436.15</v>
      </c>
      <c r="E493" s="2">
        <f>IFERROR(__xludf.DUMMYFUNCTION("""COMPUTED_VALUE"""),463.02)</f>
        <v>463.02</v>
      </c>
      <c r="F493" s="2">
        <f>IFERROR(__xludf.DUMMYFUNCTION("""COMPUTED_VALUE"""),1.14083811E8)</f>
        <v>114083811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IFERROR(__xludf.DUMMYFUNCTION("""COMPUTED_VALUE"""),475.9)</f>
        <v>475.9</v>
      </c>
      <c r="C494" s="2">
        <f>IFERROR(__xludf.DUMMYFUNCTION("""COMPUTED_VALUE"""),483.99)</f>
        <v>483.99</v>
      </c>
      <c r="D494" s="2">
        <f>IFERROR(__xludf.DUMMYFUNCTION("""COMPUTED_VALUE"""),457.51)</f>
        <v>457.51</v>
      </c>
      <c r="E494" s="2">
        <f>IFERROR(__xludf.DUMMYFUNCTION("""COMPUTED_VALUE"""),479.86)</f>
        <v>479.86</v>
      </c>
      <c r="F494" s="2">
        <f>IFERROR(__xludf.DUMMYFUNCTION("""COMPUTED_VALUE"""),1.31222978E8)</f>
        <v>131222978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IFERROR(__xludf.DUMMYFUNCTION("GOOGLEFINANCE(""META"",""all"",DATE(2023,1,1),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IFERROR(__xludf.DUMMYFUNCTION("""COMPUTED_VALUE"""),122.82)</f>
        <v>122.82</v>
      </c>
      <c r="C2" s="2">
        <f>IFERROR(__xludf.DUMMYFUNCTION("""COMPUTED_VALUE"""),126.37)</f>
        <v>126.37</v>
      </c>
      <c r="D2" s="2">
        <f>IFERROR(__xludf.DUMMYFUNCTION("""COMPUTED_VALUE"""),122.28)</f>
        <v>122.28</v>
      </c>
      <c r="E2" s="2">
        <f>IFERROR(__xludf.DUMMYFUNCTION("""COMPUTED_VALUE"""),124.74)</f>
        <v>124.74</v>
      </c>
      <c r="F2" s="2">
        <f>IFERROR(__xludf.DUMMYFUNCTION("""COMPUTED_VALUE"""),3.5528531E7)</f>
        <v>35528531</v>
      </c>
    </row>
    <row r="3">
      <c r="A3" s="3">
        <f>IFERROR(__xludf.DUMMYFUNCTION("""COMPUTED_VALUE"""),44930.66666666667)</f>
        <v>44930.66667</v>
      </c>
      <c r="B3" s="2">
        <f>IFERROR(__xludf.DUMMYFUNCTION("""COMPUTED_VALUE"""),127.38)</f>
        <v>127.38</v>
      </c>
      <c r="C3" s="2">
        <f>IFERROR(__xludf.DUMMYFUNCTION("""COMPUTED_VALUE"""),129.05)</f>
        <v>129.05</v>
      </c>
      <c r="D3" s="2">
        <f>IFERROR(__xludf.DUMMYFUNCTION("""COMPUTED_VALUE"""),125.85)</f>
        <v>125.85</v>
      </c>
      <c r="E3" s="2">
        <f>IFERROR(__xludf.DUMMYFUNCTION("""COMPUTED_VALUE"""),127.37)</f>
        <v>127.37</v>
      </c>
      <c r="F3" s="2">
        <f>IFERROR(__xludf.DUMMYFUNCTION("""COMPUTED_VALUE"""),3.2397094E7)</f>
        <v>32397094</v>
      </c>
    </row>
    <row r="4">
      <c r="A4" s="3">
        <f>IFERROR(__xludf.DUMMYFUNCTION("""COMPUTED_VALUE"""),44931.66666666667)</f>
        <v>44931.66667</v>
      </c>
      <c r="B4" s="2">
        <f>IFERROR(__xludf.DUMMYFUNCTION("""COMPUTED_VALUE"""),126.13)</f>
        <v>126.13</v>
      </c>
      <c r="C4" s="2">
        <f>IFERROR(__xludf.DUMMYFUNCTION("""COMPUTED_VALUE"""),128.52)</f>
        <v>128.52</v>
      </c>
      <c r="D4" s="2">
        <f>IFERROR(__xludf.DUMMYFUNCTION("""COMPUTED_VALUE"""),124.54)</f>
        <v>124.54</v>
      </c>
      <c r="E4" s="2">
        <f>IFERROR(__xludf.DUMMYFUNCTION("""COMPUTED_VALUE"""),126.94)</f>
        <v>126.94</v>
      </c>
      <c r="F4" s="2">
        <f>IFERROR(__xludf.DUMMYFUNCTION("""COMPUTED_VALUE"""),2.5447099E7)</f>
        <v>25447099</v>
      </c>
    </row>
    <row r="5">
      <c r="A5" s="3">
        <f>IFERROR(__xludf.DUMMYFUNCTION("""COMPUTED_VALUE"""),44932.66666666667)</f>
        <v>44932.66667</v>
      </c>
      <c r="B5" s="2">
        <f>IFERROR(__xludf.DUMMYFUNCTION("""COMPUTED_VALUE"""),128.97)</f>
        <v>128.97</v>
      </c>
      <c r="C5" s="2">
        <f>IFERROR(__xludf.DUMMYFUNCTION("""COMPUTED_VALUE"""),130.33)</f>
        <v>130.33</v>
      </c>
      <c r="D5" s="2">
        <f>IFERROR(__xludf.DUMMYFUNCTION("""COMPUTED_VALUE"""),126.04)</f>
        <v>126.04</v>
      </c>
      <c r="E5" s="2">
        <f>IFERROR(__xludf.DUMMYFUNCTION("""COMPUTED_VALUE"""),130.02)</f>
        <v>130.02</v>
      </c>
      <c r="F5" s="2">
        <f>IFERROR(__xludf.DUMMYFUNCTION("""COMPUTED_VALUE"""),2.7584498E7)</f>
        <v>27584498</v>
      </c>
    </row>
    <row r="6">
      <c r="A6" s="3">
        <f>IFERROR(__xludf.DUMMYFUNCTION("""COMPUTED_VALUE"""),44935.66666666667)</f>
        <v>44935.66667</v>
      </c>
      <c r="B6" s="2">
        <f>IFERROR(__xludf.DUMMYFUNCTION("""COMPUTED_VALUE"""),131.16)</f>
        <v>131.16</v>
      </c>
      <c r="C6" s="2">
        <f>IFERROR(__xludf.DUMMYFUNCTION("""COMPUTED_VALUE"""),132.95)</f>
        <v>132.95</v>
      </c>
      <c r="D6" s="2">
        <f>IFERROR(__xludf.DUMMYFUNCTION("""COMPUTED_VALUE"""),129.28)</f>
        <v>129.28</v>
      </c>
      <c r="E6" s="2">
        <f>IFERROR(__xludf.DUMMYFUNCTION("""COMPUTED_VALUE"""),129.47)</f>
        <v>129.47</v>
      </c>
      <c r="F6" s="2">
        <f>IFERROR(__xludf.DUMMYFUNCTION("""COMPUTED_VALUE"""),2.6649145E7)</f>
        <v>26649145</v>
      </c>
    </row>
    <row r="7">
      <c r="A7" s="3">
        <f>IFERROR(__xludf.DUMMYFUNCTION("""COMPUTED_VALUE"""),44936.66666666667)</f>
        <v>44936.66667</v>
      </c>
      <c r="B7" s="2">
        <f>IFERROR(__xludf.DUMMYFUNCTION("""COMPUTED_VALUE"""),127.27)</f>
        <v>127.27</v>
      </c>
      <c r="C7" s="2">
        <f>IFERROR(__xludf.DUMMYFUNCTION("""COMPUTED_VALUE"""),133.44)</f>
        <v>133.44</v>
      </c>
      <c r="D7" s="2">
        <f>IFERROR(__xludf.DUMMYFUNCTION("""COMPUTED_VALUE"""),127.15)</f>
        <v>127.15</v>
      </c>
      <c r="E7" s="2">
        <f>IFERROR(__xludf.DUMMYFUNCTION("""COMPUTED_VALUE"""),132.99)</f>
        <v>132.99</v>
      </c>
      <c r="F7" s="2">
        <f>IFERROR(__xludf.DUMMYFUNCTION("""COMPUTED_VALUE"""),2.8684431E7)</f>
        <v>28684431</v>
      </c>
    </row>
    <row r="8">
      <c r="A8" s="3">
        <f>IFERROR(__xludf.DUMMYFUNCTION("""COMPUTED_VALUE"""),44937.66666666667)</f>
        <v>44937.66667</v>
      </c>
      <c r="B8" s="2">
        <f>IFERROR(__xludf.DUMMYFUNCTION("""COMPUTED_VALUE"""),130.96)</f>
        <v>130.96</v>
      </c>
      <c r="C8" s="2">
        <f>IFERROR(__xludf.DUMMYFUNCTION("""COMPUTED_VALUE"""),133.85)</f>
        <v>133.85</v>
      </c>
      <c r="D8" s="2">
        <f>IFERROR(__xludf.DUMMYFUNCTION("""COMPUTED_VALUE"""),130.34)</f>
        <v>130.34</v>
      </c>
      <c r="E8" s="2">
        <f>IFERROR(__xludf.DUMMYFUNCTION("""COMPUTED_VALUE"""),132.89)</f>
        <v>132.89</v>
      </c>
      <c r="F8" s="2">
        <f>IFERROR(__xludf.DUMMYFUNCTION("""COMPUTED_VALUE"""),2.5423046E7)</f>
        <v>25423046</v>
      </c>
    </row>
    <row r="9">
      <c r="A9" s="3">
        <f>IFERROR(__xludf.DUMMYFUNCTION("""COMPUTED_VALUE"""),44938.66666666667)</f>
        <v>44938.66667</v>
      </c>
      <c r="B9" s="2">
        <f>IFERROR(__xludf.DUMMYFUNCTION("""COMPUTED_VALUE"""),133.44)</f>
        <v>133.44</v>
      </c>
      <c r="C9" s="2">
        <f>IFERROR(__xludf.DUMMYFUNCTION("""COMPUTED_VALUE"""),137.68)</f>
        <v>137.68</v>
      </c>
      <c r="D9" s="2">
        <f>IFERROR(__xludf.DUMMYFUNCTION("""COMPUTED_VALUE"""),131.76)</f>
        <v>131.76</v>
      </c>
      <c r="E9" s="2">
        <f>IFERROR(__xludf.DUMMYFUNCTION("""COMPUTED_VALUE"""),136.71)</f>
        <v>136.71</v>
      </c>
      <c r="F9" s="2">
        <f>IFERROR(__xludf.DUMMYFUNCTION("""COMPUTED_VALUE"""),3.0757732E7)</f>
        <v>30757732</v>
      </c>
    </row>
    <row r="10">
      <c r="A10" s="3">
        <f>IFERROR(__xludf.DUMMYFUNCTION("""COMPUTED_VALUE"""),44939.66666666667)</f>
        <v>44939.66667</v>
      </c>
      <c r="B10" s="2">
        <f>IFERROR(__xludf.DUMMYFUNCTION("""COMPUTED_VALUE"""),134.97)</f>
        <v>134.97</v>
      </c>
      <c r="C10" s="2">
        <f>IFERROR(__xludf.DUMMYFUNCTION("""COMPUTED_VALUE"""),137.39)</f>
        <v>137.39</v>
      </c>
      <c r="D10" s="2">
        <f>IFERROR(__xludf.DUMMYFUNCTION("""COMPUTED_VALUE"""),134.84)</f>
        <v>134.84</v>
      </c>
      <c r="E10" s="2">
        <f>IFERROR(__xludf.DUMMYFUNCTION("""COMPUTED_VALUE"""),136.98)</f>
        <v>136.98</v>
      </c>
      <c r="F10" s="2">
        <f>IFERROR(__xludf.DUMMYFUNCTION("""COMPUTED_VALUE"""),2.2423839E7)</f>
        <v>22423839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IFERROR(__xludf.DUMMYFUNCTION("""COMPUTED_VALUE"""),136.18)</f>
        <v>136.18</v>
      </c>
      <c r="C11" s="2">
        <f>IFERROR(__xludf.DUMMYFUNCTION("""COMPUTED_VALUE"""),136.75)</f>
        <v>136.75</v>
      </c>
      <c r="D11" s="2">
        <f>IFERROR(__xludf.DUMMYFUNCTION("""COMPUTED_VALUE"""),134.25)</f>
        <v>134.25</v>
      </c>
      <c r="E11" s="2">
        <f>IFERROR(__xludf.DUMMYFUNCTION("""COMPUTED_VALUE"""),135.36)</f>
        <v>135.36</v>
      </c>
      <c r="F11" s="2">
        <f>IFERROR(__xludf.DUMMYFUNCTION("""COMPUTED_VALUE"""),2.1147587E7)</f>
        <v>21147587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IFERROR(__xludf.DUMMYFUNCTION("""COMPUTED_VALUE"""),135.81)</f>
        <v>135.81</v>
      </c>
      <c r="C12" s="2">
        <f>IFERROR(__xludf.DUMMYFUNCTION("""COMPUTED_VALUE"""),137.25)</f>
        <v>137.25</v>
      </c>
      <c r="D12" s="2">
        <f>IFERROR(__xludf.DUMMYFUNCTION("""COMPUTED_VALUE"""),132.8)</f>
        <v>132.8</v>
      </c>
      <c r="E12" s="2">
        <f>IFERROR(__xludf.DUMMYFUNCTION("""COMPUTED_VALUE"""),133.02)</f>
        <v>133.02</v>
      </c>
      <c r="F12" s="2">
        <f>IFERROR(__xludf.DUMMYFUNCTION("""COMPUTED_VALUE"""),2.0215486E7)</f>
        <v>20215486</v>
      </c>
    </row>
    <row r="13">
      <c r="A13" s="3">
        <f>IFERROR(__xludf.DUMMYFUNCTION("""COMPUTED_VALUE"""),44945.66666666667)</f>
        <v>44945.66667</v>
      </c>
      <c r="B13" s="2">
        <f>IFERROR(__xludf.DUMMYFUNCTION("""COMPUTED_VALUE"""),132.49)</f>
        <v>132.49</v>
      </c>
      <c r="C13" s="2">
        <f>IFERROR(__xludf.DUMMYFUNCTION("""COMPUTED_VALUE"""),137.45)</f>
        <v>137.45</v>
      </c>
      <c r="D13" s="2">
        <f>IFERROR(__xludf.DUMMYFUNCTION("""COMPUTED_VALUE"""),132.14)</f>
        <v>132.14</v>
      </c>
      <c r="E13" s="2">
        <f>IFERROR(__xludf.DUMMYFUNCTION("""COMPUTED_VALUE"""),136.15)</f>
        <v>136.15</v>
      </c>
      <c r="F13" s="2">
        <f>IFERROR(__xludf.DUMMYFUNCTION("""COMPUTED_VALUE"""),2.8625232E7)</f>
        <v>28625232</v>
      </c>
    </row>
    <row r="14">
      <c r="A14" s="3">
        <f>IFERROR(__xludf.DUMMYFUNCTION("""COMPUTED_VALUE"""),44946.66666666667)</f>
        <v>44946.66667</v>
      </c>
      <c r="B14" s="2">
        <f>IFERROR(__xludf.DUMMYFUNCTION("""COMPUTED_VALUE"""),135.89)</f>
        <v>135.89</v>
      </c>
      <c r="C14" s="2">
        <f>IFERROR(__xludf.DUMMYFUNCTION("""COMPUTED_VALUE"""),139.94)</f>
        <v>139.94</v>
      </c>
      <c r="D14" s="2">
        <f>IFERROR(__xludf.DUMMYFUNCTION("""COMPUTED_VALUE"""),134.61)</f>
        <v>134.61</v>
      </c>
      <c r="E14" s="2">
        <f>IFERROR(__xludf.DUMMYFUNCTION("""COMPUTED_VALUE"""),139.37)</f>
        <v>139.37</v>
      </c>
      <c r="F14" s="2">
        <f>IFERROR(__xludf.DUMMYFUNCTION("""COMPUTED_VALUE"""),2.868863E7)</f>
        <v>28688630</v>
      </c>
    </row>
    <row r="15">
      <c r="A15" s="3">
        <f>IFERROR(__xludf.DUMMYFUNCTION("""COMPUTED_VALUE"""),44949.66666666667)</f>
        <v>44949.66667</v>
      </c>
      <c r="B15" s="2">
        <f>IFERROR(__xludf.DUMMYFUNCTION("""COMPUTED_VALUE"""),139.29)</f>
        <v>139.29</v>
      </c>
      <c r="C15" s="2">
        <f>IFERROR(__xludf.DUMMYFUNCTION("""COMPUTED_VALUE"""),143.76)</f>
        <v>143.76</v>
      </c>
      <c r="D15" s="2">
        <f>IFERROR(__xludf.DUMMYFUNCTION("""COMPUTED_VALUE"""),138.66)</f>
        <v>138.66</v>
      </c>
      <c r="E15" s="2">
        <f>IFERROR(__xludf.DUMMYFUNCTION("""COMPUTED_VALUE"""),143.27)</f>
        <v>143.27</v>
      </c>
      <c r="F15" s="2">
        <f>IFERROR(__xludf.DUMMYFUNCTION("""COMPUTED_VALUE"""),2.7470093E7)</f>
        <v>27470093</v>
      </c>
    </row>
    <row r="16">
      <c r="A16" s="3">
        <f>IFERROR(__xludf.DUMMYFUNCTION("""COMPUTED_VALUE"""),44950.66666666667)</f>
        <v>44950.66667</v>
      </c>
      <c r="B16" s="2">
        <f>IFERROR(__xludf.DUMMYFUNCTION("""COMPUTED_VALUE"""),141.69)</f>
        <v>141.69</v>
      </c>
      <c r="C16" s="2">
        <f>IFERROR(__xludf.DUMMYFUNCTION("""COMPUTED_VALUE"""),145.0)</f>
        <v>145</v>
      </c>
      <c r="D16" s="2">
        <f>IFERROR(__xludf.DUMMYFUNCTION("""COMPUTED_VALUE"""),141.36)</f>
        <v>141.36</v>
      </c>
      <c r="E16" s="2">
        <f>IFERROR(__xludf.DUMMYFUNCTION("""COMPUTED_VALUE"""),143.14)</f>
        <v>143.14</v>
      </c>
      <c r="F16" s="2">
        <f>IFERROR(__xludf.DUMMYFUNCTION("""COMPUTED_VALUE"""),2.197019E7)</f>
        <v>21970190</v>
      </c>
    </row>
    <row r="17">
      <c r="A17" s="3">
        <f>IFERROR(__xludf.DUMMYFUNCTION("""COMPUTED_VALUE"""),44951.66666666667)</f>
        <v>44951.66667</v>
      </c>
      <c r="B17" s="2">
        <f>IFERROR(__xludf.DUMMYFUNCTION("""COMPUTED_VALUE"""),141.22)</f>
        <v>141.22</v>
      </c>
      <c r="C17" s="2">
        <f>IFERROR(__xludf.DUMMYFUNCTION("""COMPUTED_VALUE"""),143.17)</f>
        <v>143.17</v>
      </c>
      <c r="D17" s="2">
        <f>IFERROR(__xludf.DUMMYFUNCTION("""COMPUTED_VALUE"""),140.31)</f>
        <v>140.31</v>
      </c>
      <c r="E17" s="2">
        <f>IFERROR(__xludf.DUMMYFUNCTION("""COMPUTED_VALUE"""),141.5)</f>
        <v>141.5</v>
      </c>
      <c r="F17" s="2">
        <f>IFERROR(__xludf.DUMMYFUNCTION("""COMPUTED_VALUE"""),2.6622021E7)</f>
        <v>26622021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IFERROR(__xludf.DUMMYFUNCTION("""COMPUTED_VALUE"""),144.4)</f>
        <v>144.4</v>
      </c>
      <c r="C18" s="2">
        <f>IFERROR(__xludf.DUMMYFUNCTION("""COMPUTED_VALUE"""),147.51)</f>
        <v>147.51</v>
      </c>
      <c r="D18" s="2">
        <f>IFERROR(__xludf.DUMMYFUNCTION("""COMPUTED_VALUE"""),143.3)</f>
        <v>143.3</v>
      </c>
      <c r="E18" s="2">
        <f>IFERROR(__xludf.DUMMYFUNCTION("""COMPUTED_VALUE"""),147.3)</f>
        <v>147.3</v>
      </c>
      <c r="F18" s="2">
        <f>IFERROR(__xludf.DUMMYFUNCTION("""COMPUTED_VALUE"""),2.5482084E7)</f>
        <v>25482084</v>
      </c>
    </row>
    <row r="19">
      <c r="A19" s="3">
        <f>IFERROR(__xludf.DUMMYFUNCTION("""COMPUTED_VALUE"""),44953.66666666667)</f>
        <v>44953.66667</v>
      </c>
      <c r="B19" s="2">
        <f>IFERROR(__xludf.DUMMYFUNCTION("""COMPUTED_VALUE"""),148.24)</f>
        <v>148.24</v>
      </c>
      <c r="C19" s="2">
        <f>IFERROR(__xludf.DUMMYFUNCTION("""COMPUTED_VALUE"""),153.19)</f>
        <v>153.19</v>
      </c>
      <c r="D19" s="2">
        <f>IFERROR(__xludf.DUMMYFUNCTION("""COMPUTED_VALUE"""),147.39)</f>
        <v>147.39</v>
      </c>
      <c r="E19" s="2">
        <f>IFERROR(__xludf.DUMMYFUNCTION("""COMPUTED_VALUE"""),151.74)</f>
        <v>151.74</v>
      </c>
      <c r="F19" s="2">
        <f>IFERROR(__xludf.DUMMYFUNCTION("""COMPUTED_VALUE"""),3.5771865E7)</f>
        <v>35771865</v>
      </c>
    </row>
    <row r="20">
      <c r="A20" s="3">
        <f>IFERROR(__xludf.DUMMYFUNCTION("""COMPUTED_VALUE"""),44956.66666666667)</f>
        <v>44956.66667</v>
      </c>
      <c r="B20" s="2">
        <f>IFERROR(__xludf.DUMMYFUNCTION("""COMPUTED_VALUE"""),149.41)</f>
        <v>149.41</v>
      </c>
      <c r="C20" s="2">
        <f>IFERROR(__xludf.DUMMYFUNCTION("""COMPUTED_VALUE"""),151.12)</f>
        <v>151.12</v>
      </c>
      <c r="D20" s="2">
        <f>IFERROR(__xludf.DUMMYFUNCTION("""COMPUTED_VALUE"""),146.95)</f>
        <v>146.95</v>
      </c>
      <c r="E20" s="2">
        <f>IFERROR(__xludf.DUMMYFUNCTION("""COMPUTED_VALUE"""),147.06)</f>
        <v>147.06</v>
      </c>
      <c r="F20" s="2">
        <f>IFERROR(__xludf.DUMMYFUNCTION("""COMPUTED_VALUE"""),2.80401E7)</f>
        <v>28040100</v>
      </c>
    </row>
    <row r="21">
      <c r="A21" s="3">
        <f>IFERROR(__xludf.DUMMYFUNCTION("""COMPUTED_VALUE"""),44957.66666666667)</f>
        <v>44957.66667</v>
      </c>
      <c r="B21" s="2">
        <f>IFERROR(__xludf.DUMMYFUNCTION("""COMPUTED_VALUE"""),147.95)</f>
        <v>147.95</v>
      </c>
      <c r="C21" s="2">
        <f>IFERROR(__xludf.DUMMYFUNCTION("""COMPUTED_VALUE"""),149.88)</f>
        <v>149.88</v>
      </c>
      <c r="D21" s="2">
        <f>IFERROR(__xludf.DUMMYFUNCTION("""COMPUTED_VALUE"""),147.52)</f>
        <v>147.52</v>
      </c>
      <c r="E21" s="2">
        <f>IFERROR(__xludf.DUMMYFUNCTION("""COMPUTED_VALUE"""),148.97)</f>
        <v>148.97</v>
      </c>
      <c r="F21" s="2">
        <f>IFERROR(__xludf.DUMMYFUNCTION("""COMPUTED_VALUE"""),2.9842109E7)</f>
        <v>29842109</v>
      </c>
    </row>
    <row r="22">
      <c r="A22" s="3">
        <f>IFERROR(__xludf.DUMMYFUNCTION("""COMPUTED_VALUE"""),44958.66666666667)</f>
        <v>44958.66667</v>
      </c>
      <c r="B22" s="2">
        <f>IFERROR(__xludf.DUMMYFUNCTION("""COMPUTED_VALUE"""),148.03)</f>
        <v>148.03</v>
      </c>
      <c r="C22" s="2">
        <f>IFERROR(__xludf.DUMMYFUNCTION("""COMPUTED_VALUE"""),153.58)</f>
        <v>153.58</v>
      </c>
      <c r="D22" s="2">
        <f>IFERROR(__xludf.DUMMYFUNCTION("""COMPUTED_VALUE"""),147.06)</f>
        <v>147.06</v>
      </c>
      <c r="E22" s="2">
        <f>IFERROR(__xludf.DUMMYFUNCTION("""COMPUTED_VALUE"""),153.12)</f>
        <v>153.12</v>
      </c>
      <c r="F22" s="2">
        <f>IFERROR(__xludf.DUMMYFUNCTION("""COMPUTED_VALUE"""),5.5661017E7)</f>
        <v>55661017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IFERROR(__xludf.DUMMYFUNCTION("""COMPUTED_VALUE"""),183.38)</f>
        <v>183.38</v>
      </c>
      <c r="C23" s="2">
        <f>IFERROR(__xludf.DUMMYFUNCTION("""COMPUTED_VALUE"""),197.16)</f>
        <v>197.16</v>
      </c>
      <c r="D23" s="2">
        <f>IFERROR(__xludf.DUMMYFUNCTION("""COMPUTED_VALUE"""),180.16)</f>
        <v>180.16</v>
      </c>
      <c r="E23" s="2">
        <f>IFERROR(__xludf.DUMMYFUNCTION("""COMPUTED_VALUE"""),188.77)</f>
        <v>188.77</v>
      </c>
      <c r="F23" s="2">
        <f>IFERROR(__xludf.DUMMYFUNCTION("""COMPUTED_VALUE"""),1.50475687E8)</f>
        <v>150475687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IFERROR(__xludf.DUMMYFUNCTION("""COMPUTED_VALUE"""),183.47)</f>
        <v>183.47</v>
      </c>
      <c r="C24" s="2">
        <f>IFERROR(__xludf.DUMMYFUNCTION("""COMPUTED_VALUE"""),196.77)</f>
        <v>196.77</v>
      </c>
      <c r="D24" s="2">
        <f>IFERROR(__xludf.DUMMYFUNCTION("""COMPUTED_VALUE"""),182.89)</f>
        <v>182.89</v>
      </c>
      <c r="E24" s="2">
        <f>IFERROR(__xludf.DUMMYFUNCTION("""COMPUTED_VALUE"""),186.53)</f>
        <v>186.53</v>
      </c>
      <c r="F24" s="2">
        <f>IFERROR(__xludf.DUMMYFUNCTION("""COMPUTED_VALUE"""),7.6809701E7)</f>
        <v>76809701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IFERROR(__xludf.DUMMYFUNCTION("""COMPUTED_VALUE"""),186.53)</f>
        <v>186.53</v>
      </c>
      <c r="C25" s="2">
        <f>IFERROR(__xludf.DUMMYFUNCTION("""COMPUTED_VALUE"""),190.7)</f>
        <v>190.7</v>
      </c>
      <c r="D25" s="2">
        <f>IFERROR(__xludf.DUMMYFUNCTION("""COMPUTED_VALUE"""),185.52)</f>
        <v>185.52</v>
      </c>
      <c r="E25" s="2">
        <f>IFERROR(__xludf.DUMMYFUNCTION("""COMPUTED_VALUE"""),186.06)</f>
        <v>186.06</v>
      </c>
      <c r="F25" s="2">
        <f>IFERROR(__xludf.DUMMYFUNCTION("""COMPUTED_VALUE"""),4.2483811E7)</f>
        <v>42483811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IFERROR(__xludf.DUMMYFUNCTION("""COMPUTED_VALUE"""),185.58)</f>
        <v>185.58</v>
      </c>
      <c r="C26" s="2">
        <f>IFERROR(__xludf.DUMMYFUNCTION("""COMPUTED_VALUE"""),193.78)</f>
        <v>193.78</v>
      </c>
      <c r="D26" s="2">
        <f>IFERROR(__xludf.DUMMYFUNCTION("""COMPUTED_VALUE"""),184.4)</f>
        <v>184.4</v>
      </c>
      <c r="E26" s="2">
        <f>IFERROR(__xludf.DUMMYFUNCTION("""COMPUTED_VALUE"""),191.62)</f>
        <v>191.62</v>
      </c>
      <c r="F26" s="2">
        <f>IFERROR(__xludf.DUMMYFUNCTION("""COMPUTED_VALUE"""),4.7080662E7)</f>
        <v>47080662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IFERROR(__xludf.DUMMYFUNCTION("""COMPUTED_VALUE"""),190.0)</f>
        <v>190</v>
      </c>
      <c r="C27" s="2">
        <f>IFERROR(__xludf.DUMMYFUNCTION("""COMPUTED_VALUE"""),190.83)</f>
        <v>190.83</v>
      </c>
      <c r="D27" s="2">
        <f>IFERROR(__xludf.DUMMYFUNCTION("""COMPUTED_VALUE"""),182.92)</f>
        <v>182.92</v>
      </c>
      <c r="E27" s="2">
        <f>IFERROR(__xludf.DUMMYFUNCTION("""COMPUTED_VALUE"""),183.43)</f>
        <v>183.43</v>
      </c>
      <c r="F27" s="2">
        <f>IFERROR(__xludf.DUMMYFUNCTION("""COMPUTED_VALUE"""),3.6139074E7)</f>
        <v>36139074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IFERROR(__xludf.DUMMYFUNCTION("""COMPUTED_VALUE"""),186.13)</f>
        <v>186.13</v>
      </c>
      <c r="C28" s="2">
        <f>IFERROR(__xludf.DUMMYFUNCTION("""COMPUTED_VALUE"""),186.65)</f>
        <v>186.65</v>
      </c>
      <c r="D28" s="2">
        <f>IFERROR(__xludf.DUMMYFUNCTION("""COMPUTED_VALUE"""),177.27)</f>
        <v>177.27</v>
      </c>
      <c r="E28" s="2">
        <f>IFERROR(__xludf.DUMMYFUNCTION("""COMPUTED_VALUE"""),177.92)</f>
        <v>177.92</v>
      </c>
      <c r="F28" s="2">
        <f>IFERROR(__xludf.DUMMYFUNCTION("""COMPUTED_VALUE"""),3.7118811E7)</f>
        <v>37118811</v>
      </c>
    </row>
    <row r="29">
      <c r="A29" s="3">
        <f>IFERROR(__xludf.DUMMYFUNCTION("""COMPUTED_VALUE"""),44967.66666666667)</f>
        <v>44967.66667</v>
      </c>
      <c r="B29" s="2">
        <f>IFERROR(__xludf.DUMMYFUNCTION("""COMPUTED_VALUE"""),176.35)</f>
        <v>176.35</v>
      </c>
      <c r="C29" s="2">
        <f>IFERROR(__xludf.DUMMYFUNCTION("""COMPUTED_VALUE"""),178.89)</f>
        <v>178.89</v>
      </c>
      <c r="D29" s="2">
        <f>IFERROR(__xludf.DUMMYFUNCTION("""COMPUTED_VALUE"""),173.35)</f>
        <v>173.35</v>
      </c>
      <c r="E29" s="2">
        <f>IFERROR(__xludf.DUMMYFUNCTION("""COMPUTED_VALUE"""),174.15)</f>
        <v>174.15</v>
      </c>
      <c r="F29" s="2">
        <f>IFERROR(__xludf.DUMMYFUNCTION("""COMPUTED_VALUE"""),3.3433567E7)</f>
        <v>33433567</v>
      </c>
    </row>
    <row r="30">
      <c r="A30" s="3">
        <f>IFERROR(__xludf.DUMMYFUNCTION("""COMPUTED_VALUE"""),44970.66666666667)</f>
        <v>44970.66667</v>
      </c>
      <c r="B30" s="2">
        <f>IFERROR(__xludf.DUMMYFUNCTION("""COMPUTED_VALUE"""),178.22)</f>
        <v>178.22</v>
      </c>
      <c r="C30" s="2">
        <f>IFERROR(__xludf.DUMMYFUNCTION("""COMPUTED_VALUE"""),181.0)</f>
        <v>181</v>
      </c>
      <c r="D30" s="2">
        <f>IFERROR(__xludf.DUMMYFUNCTION("""COMPUTED_VALUE"""),175.82)</f>
        <v>175.82</v>
      </c>
      <c r="E30" s="2">
        <f>IFERROR(__xludf.DUMMYFUNCTION("""COMPUTED_VALUE"""),179.43)</f>
        <v>179.43</v>
      </c>
      <c r="F30" s="2">
        <f>IFERROR(__xludf.DUMMYFUNCTION("""COMPUTED_VALUE"""),3.1463223E7)</f>
        <v>31463223</v>
      </c>
    </row>
    <row r="31">
      <c r="A31" s="3">
        <f>IFERROR(__xludf.DUMMYFUNCTION("""COMPUTED_VALUE"""),44971.66666666667)</f>
        <v>44971.66667</v>
      </c>
      <c r="B31" s="2">
        <f>IFERROR(__xludf.DUMMYFUNCTION("""COMPUTED_VALUE"""),177.16)</f>
        <v>177.16</v>
      </c>
      <c r="C31" s="2">
        <f>IFERROR(__xludf.DUMMYFUNCTION("""COMPUTED_VALUE"""),181.51)</f>
        <v>181.51</v>
      </c>
      <c r="D31" s="2">
        <f>IFERROR(__xludf.DUMMYFUNCTION("""COMPUTED_VALUE"""),175.88)</f>
        <v>175.88</v>
      </c>
      <c r="E31" s="2">
        <f>IFERROR(__xludf.DUMMYFUNCTION("""COMPUTED_VALUE"""),179.48)</f>
        <v>179.48</v>
      </c>
      <c r="F31" s="2">
        <f>IFERROR(__xludf.DUMMYFUNCTION("""COMPUTED_VALUE"""),2.4034631E7)</f>
        <v>24034631</v>
      </c>
    </row>
    <row r="32">
      <c r="A32" s="3">
        <f>IFERROR(__xludf.DUMMYFUNCTION("""COMPUTED_VALUE"""),44972.66666666667)</f>
        <v>44972.66667</v>
      </c>
      <c r="B32" s="2">
        <f>IFERROR(__xludf.DUMMYFUNCTION("""COMPUTED_VALUE"""),176.42)</f>
        <v>176.42</v>
      </c>
      <c r="C32" s="2">
        <f>IFERROR(__xludf.DUMMYFUNCTION("""COMPUTED_VALUE"""),178.19)</f>
        <v>178.19</v>
      </c>
      <c r="D32" s="2">
        <f>IFERROR(__xludf.DUMMYFUNCTION("""COMPUTED_VALUE"""),175.33)</f>
        <v>175.33</v>
      </c>
      <c r="E32" s="2">
        <f>IFERROR(__xludf.DUMMYFUNCTION("""COMPUTED_VALUE"""),177.16)</f>
        <v>177.16</v>
      </c>
      <c r="F32" s="2">
        <f>IFERROR(__xludf.DUMMYFUNCTION("""COMPUTED_VALUE"""),2.5337966E7)</f>
        <v>25337966</v>
      </c>
    </row>
    <row r="33">
      <c r="A33" s="3">
        <f>IFERROR(__xludf.DUMMYFUNCTION("""COMPUTED_VALUE"""),44973.66666666667)</f>
        <v>44973.66667</v>
      </c>
      <c r="B33" s="2">
        <f>IFERROR(__xludf.DUMMYFUNCTION("""COMPUTED_VALUE"""),172.75)</f>
        <v>172.75</v>
      </c>
      <c r="C33" s="2">
        <f>IFERROR(__xludf.DUMMYFUNCTION("""COMPUTED_VALUE"""),175.85)</f>
        <v>175.85</v>
      </c>
      <c r="D33" s="2">
        <f>IFERROR(__xludf.DUMMYFUNCTION("""COMPUTED_VALUE"""),171.79)</f>
        <v>171.79</v>
      </c>
      <c r="E33" s="2">
        <f>IFERROR(__xludf.DUMMYFUNCTION("""COMPUTED_VALUE"""),172.44)</f>
        <v>172.44</v>
      </c>
      <c r="F33" s="2">
        <f>IFERROR(__xludf.DUMMYFUNCTION("""COMPUTED_VALUE"""),2.5827473E7)</f>
        <v>25827473</v>
      </c>
    </row>
    <row r="34">
      <c r="A34" s="3">
        <f>IFERROR(__xludf.DUMMYFUNCTION("""COMPUTED_VALUE"""),44974.66666666667)</f>
        <v>44974.66667</v>
      </c>
      <c r="B34" s="2">
        <f>IFERROR(__xludf.DUMMYFUNCTION("""COMPUTED_VALUE"""),170.22)</f>
        <v>170.22</v>
      </c>
      <c r="C34" s="2">
        <f>IFERROR(__xludf.DUMMYFUNCTION("""COMPUTED_VALUE"""),173.18)</f>
        <v>173.18</v>
      </c>
      <c r="D34" s="2">
        <f>IFERROR(__xludf.DUMMYFUNCTION("""COMPUTED_VALUE"""),169.7)</f>
        <v>169.7</v>
      </c>
      <c r="E34" s="2">
        <f>IFERROR(__xludf.DUMMYFUNCTION("""COMPUTED_VALUE"""),172.88)</f>
        <v>172.88</v>
      </c>
      <c r="F34" s="2">
        <f>IFERROR(__xludf.DUMMYFUNCTION("""COMPUTED_VALUE"""),2.417126E7)</f>
        <v>24171260</v>
      </c>
    </row>
    <row r="35">
      <c r="A35" s="3">
        <f>IFERROR(__xludf.DUMMYFUNCTION("""COMPUTED_VALUE"""),44978.66666666667)</f>
        <v>44978.66667</v>
      </c>
      <c r="B35" s="2">
        <f>IFERROR(__xludf.DUMMYFUNCTION("""COMPUTED_VALUE"""),174.31)</f>
        <v>174.31</v>
      </c>
      <c r="C35" s="2">
        <f>IFERROR(__xludf.DUMMYFUNCTION("""COMPUTED_VALUE"""),178.17)</f>
        <v>178.17</v>
      </c>
      <c r="D35" s="2">
        <f>IFERROR(__xludf.DUMMYFUNCTION("""COMPUTED_VALUE"""),171.88)</f>
        <v>171.88</v>
      </c>
      <c r="E35" s="2">
        <f>IFERROR(__xludf.DUMMYFUNCTION("""COMPUTED_VALUE"""),172.08)</f>
        <v>172.08</v>
      </c>
      <c r="F35" s="2">
        <f>IFERROR(__xludf.DUMMYFUNCTION("""COMPUTED_VALUE"""),3.4592582E7)</f>
        <v>34592582</v>
      </c>
    </row>
    <row r="36">
      <c r="A36" s="3">
        <f>IFERROR(__xludf.DUMMYFUNCTION("""COMPUTED_VALUE"""),44979.66666666667)</f>
        <v>44979.66667</v>
      </c>
      <c r="B36" s="2">
        <f>IFERROR(__xludf.DUMMYFUNCTION("""COMPUTED_VALUE"""),171.07)</f>
        <v>171.07</v>
      </c>
      <c r="C36" s="2">
        <f>IFERROR(__xludf.DUMMYFUNCTION("""COMPUTED_VALUE"""),172.76)</f>
        <v>172.76</v>
      </c>
      <c r="D36" s="2">
        <f>IFERROR(__xludf.DUMMYFUNCTION("""COMPUTED_VALUE"""),169.69)</f>
        <v>169.69</v>
      </c>
      <c r="E36" s="2">
        <f>IFERROR(__xludf.DUMMYFUNCTION("""COMPUTED_VALUE"""),171.12)</f>
        <v>171.12</v>
      </c>
      <c r="F36" s="2">
        <f>IFERROR(__xludf.DUMMYFUNCTION("""COMPUTED_VALUE"""),2.2433158E7)</f>
        <v>22433158</v>
      </c>
    </row>
    <row r="37">
      <c r="A37" s="3">
        <f>IFERROR(__xludf.DUMMYFUNCTION("""COMPUTED_VALUE"""),44980.66666666667)</f>
        <v>44980.66667</v>
      </c>
      <c r="B37" s="2">
        <f>IFERROR(__xludf.DUMMYFUNCTION("""COMPUTED_VALUE"""),172.0)</f>
        <v>172</v>
      </c>
      <c r="C37" s="2">
        <f>IFERROR(__xludf.DUMMYFUNCTION("""COMPUTED_VALUE"""),173.69)</f>
        <v>173.69</v>
      </c>
      <c r="D37" s="2">
        <f>IFERROR(__xludf.DUMMYFUNCTION("""COMPUTED_VALUE"""),169.38)</f>
        <v>169.38</v>
      </c>
      <c r="E37" s="2">
        <f>IFERROR(__xludf.DUMMYFUNCTION("""COMPUTED_VALUE"""),172.04)</f>
        <v>172.04</v>
      </c>
      <c r="F37" s="2">
        <f>IFERROR(__xludf.DUMMYFUNCTION("""COMPUTED_VALUE"""),2.0017779E7)</f>
        <v>20017779</v>
      </c>
    </row>
    <row r="38">
      <c r="A38" s="3">
        <f>IFERROR(__xludf.DUMMYFUNCTION("""COMPUTED_VALUE"""),44981.66666666667)</f>
        <v>44981.66667</v>
      </c>
      <c r="B38" s="2">
        <f>IFERROR(__xludf.DUMMYFUNCTION("""COMPUTED_VALUE"""),168.64)</f>
        <v>168.64</v>
      </c>
      <c r="C38" s="2">
        <f>IFERROR(__xludf.DUMMYFUNCTION("""COMPUTED_VALUE"""),170.72)</f>
        <v>170.72</v>
      </c>
      <c r="D38" s="2">
        <f>IFERROR(__xludf.DUMMYFUNCTION("""COMPUTED_VALUE"""),167.66)</f>
        <v>167.66</v>
      </c>
      <c r="E38" s="2">
        <f>IFERROR(__xludf.DUMMYFUNCTION("""COMPUTED_VALUE"""),170.39)</f>
        <v>170.39</v>
      </c>
      <c r="F38" s="2">
        <f>IFERROR(__xludf.DUMMYFUNCTION("""COMPUTED_VALUE"""),1.9791334E7)</f>
        <v>19791334</v>
      </c>
    </row>
    <row r="39">
      <c r="A39" s="3">
        <f>IFERROR(__xludf.DUMMYFUNCTION("""COMPUTED_VALUE"""),44984.66666666667)</f>
        <v>44984.66667</v>
      </c>
      <c r="B39" s="2">
        <f>IFERROR(__xludf.DUMMYFUNCTION("""COMPUTED_VALUE"""),171.88)</f>
        <v>171.88</v>
      </c>
      <c r="C39" s="2">
        <f>IFERROR(__xludf.DUMMYFUNCTION("""COMPUTED_VALUE"""),173.12)</f>
        <v>173.12</v>
      </c>
      <c r="D39" s="2">
        <f>IFERROR(__xludf.DUMMYFUNCTION("""COMPUTED_VALUE"""),169.06)</f>
        <v>169.06</v>
      </c>
      <c r="E39" s="2">
        <f>IFERROR(__xludf.DUMMYFUNCTION("""COMPUTED_VALUE"""),169.54)</f>
        <v>169.54</v>
      </c>
      <c r="F39" s="2">
        <f>IFERROR(__xludf.DUMMYFUNCTION("""COMPUTED_VALUE"""),1.9277002E7)</f>
        <v>19277002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IFERROR(__xludf.DUMMYFUNCTION("""COMPUTED_VALUE"""),171.9)</f>
        <v>171.9</v>
      </c>
      <c r="C40" s="2">
        <f>IFERROR(__xludf.DUMMYFUNCTION("""COMPUTED_VALUE"""),177.55)</f>
        <v>177.55</v>
      </c>
      <c r="D40" s="2">
        <f>IFERROR(__xludf.DUMMYFUNCTION("""COMPUTED_VALUE"""),171.87)</f>
        <v>171.87</v>
      </c>
      <c r="E40" s="2">
        <f>IFERROR(__xludf.DUMMYFUNCTION("""COMPUTED_VALUE"""),174.94)</f>
        <v>174.94</v>
      </c>
      <c r="F40" s="2">
        <f>IFERROR(__xludf.DUMMYFUNCTION("""COMPUTED_VALUE"""),4.6051117E7)</f>
        <v>46051117</v>
      </c>
    </row>
    <row r="41">
      <c r="A41" s="3">
        <f>IFERROR(__xludf.DUMMYFUNCTION("""COMPUTED_VALUE"""),44986.66666666667)</f>
        <v>44986.66667</v>
      </c>
      <c r="B41" s="2">
        <f>IFERROR(__xludf.DUMMYFUNCTION("""COMPUTED_VALUE"""),174.59)</f>
        <v>174.59</v>
      </c>
      <c r="C41" s="2">
        <f>IFERROR(__xludf.DUMMYFUNCTION("""COMPUTED_VALUE"""),177.85)</f>
        <v>177.85</v>
      </c>
      <c r="D41" s="2">
        <f>IFERROR(__xludf.DUMMYFUNCTION("""COMPUTED_VALUE"""),173.05)</f>
        <v>173.05</v>
      </c>
      <c r="E41" s="2">
        <f>IFERROR(__xludf.DUMMYFUNCTION("""COMPUTED_VALUE"""),173.42)</f>
        <v>173.42</v>
      </c>
      <c r="F41" s="2">
        <f>IFERROR(__xludf.DUMMYFUNCTION("""COMPUTED_VALUE"""),3.099838E7)</f>
        <v>30998380</v>
      </c>
    </row>
    <row r="42">
      <c r="A42" s="3">
        <f>IFERROR(__xludf.DUMMYFUNCTION("""COMPUTED_VALUE"""),44987.66666666667)</f>
        <v>44987.66667</v>
      </c>
      <c r="B42" s="2">
        <f>IFERROR(__xludf.DUMMYFUNCTION("""COMPUTED_VALUE"""),172.38)</f>
        <v>172.38</v>
      </c>
      <c r="C42" s="2">
        <f>IFERROR(__xludf.DUMMYFUNCTION("""COMPUTED_VALUE"""),175.01)</f>
        <v>175.01</v>
      </c>
      <c r="D42" s="2">
        <f>IFERROR(__xludf.DUMMYFUNCTION("""COMPUTED_VALUE"""),171.43)</f>
        <v>171.43</v>
      </c>
      <c r="E42" s="2">
        <f>IFERROR(__xludf.DUMMYFUNCTION("""COMPUTED_VALUE"""),174.53)</f>
        <v>174.53</v>
      </c>
      <c r="F42" s="2">
        <f>IFERROR(__xludf.DUMMYFUNCTION("""COMPUTED_VALUE"""),1.7360708E7)</f>
        <v>17360708</v>
      </c>
    </row>
    <row r="43">
      <c r="A43" s="3">
        <f>IFERROR(__xludf.DUMMYFUNCTION("""COMPUTED_VALUE"""),44988.66666666667)</f>
        <v>44988.66667</v>
      </c>
      <c r="B43" s="2">
        <f>IFERROR(__xludf.DUMMYFUNCTION("""COMPUTED_VALUE"""),178.92)</f>
        <v>178.92</v>
      </c>
      <c r="C43" s="2">
        <f>IFERROR(__xludf.DUMMYFUNCTION("""COMPUTED_VALUE"""),186.62)</f>
        <v>186.62</v>
      </c>
      <c r="D43" s="2">
        <f>IFERROR(__xludf.DUMMYFUNCTION("""COMPUTED_VALUE"""),177.05)</f>
        <v>177.05</v>
      </c>
      <c r="E43" s="2">
        <f>IFERROR(__xludf.DUMMYFUNCTION("""COMPUTED_VALUE"""),185.25)</f>
        <v>185.25</v>
      </c>
      <c r="F43" s="2">
        <f>IFERROR(__xludf.DUMMYFUNCTION("""COMPUTED_VALUE"""),4.5877692E7)</f>
        <v>45877692</v>
      </c>
    </row>
    <row r="44">
      <c r="A44" s="3">
        <f>IFERROR(__xludf.DUMMYFUNCTION("""COMPUTED_VALUE"""),44991.66666666667)</f>
        <v>44991.66667</v>
      </c>
      <c r="B44" s="2">
        <f>IFERROR(__xludf.DUMMYFUNCTION("""COMPUTED_VALUE"""),188.0)</f>
        <v>188</v>
      </c>
      <c r="C44" s="2">
        <f>IFERROR(__xludf.DUMMYFUNCTION("""COMPUTED_VALUE"""),189.66)</f>
        <v>189.66</v>
      </c>
      <c r="D44" s="2">
        <f>IFERROR(__xludf.DUMMYFUNCTION("""COMPUTED_VALUE"""),184.64)</f>
        <v>184.64</v>
      </c>
      <c r="E44" s="2">
        <f>IFERROR(__xludf.DUMMYFUNCTION("""COMPUTED_VALUE"""),184.9)</f>
        <v>184.9</v>
      </c>
      <c r="F44" s="2">
        <f>IFERROR(__xludf.DUMMYFUNCTION("""COMPUTED_VALUE"""),3.3209394E7)</f>
        <v>33209394</v>
      </c>
    </row>
    <row r="45">
      <c r="A45" s="3">
        <f>IFERROR(__xludf.DUMMYFUNCTION("""COMPUTED_VALUE"""),44992.66666666667)</f>
        <v>44992.66667</v>
      </c>
      <c r="B45" s="2">
        <f>IFERROR(__xludf.DUMMYFUNCTION("""COMPUTED_VALUE"""),189.0)</f>
        <v>189</v>
      </c>
      <c r="C45" s="2">
        <f>IFERROR(__xludf.DUMMYFUNCTION("""COMPUTED_VALUE"""),190.36)</f>
        <v>190.36</v>
      </c>
      <c r="D45" s="2">
        <f>IFERROR(__xludf.DUMMYFUNCTION("""COMPUTED_VALUE"""),184.01)</f>
        <v>184.01</v>
      </c>
      <c r="E45" s="2">
        <f>IFERROR(__xludf.DUMMYFUNCTION("""COMPUTED_VALUE"""),184.51)</f>
        <v>184.51</v>
      </c>
      <c r="F45" s="2">
        <f>IFERROR(__xludf.DUMMYFUNCTION("""COMPUTED_VALUE"""),3.6701495E7)</f>
        <v>36701495</v>
      </c>
    </row>
    <row r="46">
      <c r="A46" s="3">
        <f>IFERROR(__xludf.DUMMYFUNCTION("""COMPUTED_VALUE"""),44993.66666666667)</f>
        <v>44993.66667</v>
      </c>
      <c r="B46" s="2">
        <f>IFERROR(__xludf.DUMMYFUNCTION("""COMPUTED_VALUE"""),182.87)</f>
        <v>182.87</v>
      </c>
      <c r="C46" s="2">
        <f>IFERROR(__xludf.DUMMYFUNCTION("""COMPUTED_VALUE"""),185.26)</f>
        <v>185.26</v>
      </c>
      <c r="D46" s="2">
        <f>IFERROR(__xludf.DUMMYFUNCTION("""COMPUTED_VALUE"""),181.34)</f>
        <v>181.34</v>
      </c>
      <c r="E46" s="2">
        <f>IFERROR(__xludf.DUMMYFUNCTION("""COMPUTED_VALUE"""),184.97)</f>
        <v>184.97</v>
      </c>
      <c r="F46" s="2">
        <f>IFERROR(__xludf.DUMMYFUNCTION("""COMPUTED_VALUE"""),1.9432405E7)</f>
        <v>19432405</v>
      </c>
    </row>
    <row r="47">
      <c r="A47" s="3">
        <f>IFERROR(__xludf.DUMMYFUNCTION("""COMPUTED_VALUE"""),44994.66666666667)</f>
        <v>44994.66667</v>
      </c>
      <c r="B47" s="2">
        <f>IFERROR(__xludf.DUMMYFUNCTION("""COMPUTED_VALUE"""),186.35)</f>
        <v>186.35</v>
      </c>
      <c r="C47" s="2">
        <f>IFERROR(__xludf.DUMMYFUNCTION("""COMPUTED_VALUE"""),188.93)</f>
        <v>188.93</v>
      </c>
      <c r="D47" s="2">
        <f>IFERROR(__xludf.DUMMYFUNCTION("""COMPUTED_VALUE"""),180.3)</f>
        <v>180.3</v>
      </c>
      <c r="E47" s="2">
        <f>IFERROR(__xludf.DUMMYFUNCTION("""COMPUTED_VALUE"""),181.69)</f>
        <v>181.69</v>
      </c>
      <c r="F47" s="2">
        <f>IFERROR(__xludf.DUMMYFUNCTION("""COMPUTED_VALUE"""),2.658275E7)</f>
        <v>26582750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IFERROR(__xludf.DUMMYFUNCTION("""COMPUTED_VALUE"""),181.01)</f>
        <v>181.01</v>
      </c>
      <c r="C48" s="2">
        <f>IFERROR(__xludf.DUMMYFUNCTION("""COMPUTED_VALUE"""),184.77)</f>
        <v>184.77</v>
      </c>
      <c r="D48" s="2">
        <f>IFERROR(__xludf.DUMMYFUNCTION("""COMPUTED_VALUE"""),178.8)</f>
        <v>178.8</v>
      </c>
      <c r="E48" s="2">
        <f>IFERROR(__xludf.DUMMYFUNCTION("""COMPUTED_VALUE"""),179.51)</f>
        <v>179.51</v>
      </c>
      <c r="F48" s="2">
        <f>IFERROR(__xludf.DUMMYFUNCTION("""COMPUTED_VALUE"""),2.5665032E7)</f>
        <v>25665032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IFERROR(__xludf.DUMMYFUNCTION("""COMPUTED_VALUE"""),177.96)</f>
        <v>177.96</v>
      </c>
      <c r="C49" s="2">
        <f>IFERROR(__xludf.DUMMYFUNCTION("""COMPUTED_VALUE"""),183.78)</f>
        <v>183.78</v>
      </c>
      <c r="D49" s="2">
        <f>IFERROR(__xludf.DUMMYFUNCTION("""COMPUTED_VALUE"""),174.82)</f>
        <v>174.82</v>
      </c>
      <c r="E49" s="2">
        <f>IFERROR(__xludf.DUMMYFUNCTION("""COMPUTED_VALUE"""),180.9)</f>
        <v>180.9</v>
      </c>
      <c r="F49" s="2">
        <f>IFERROR(__xludf.DUMMYFUNCTION("""COMPUTED_VALUE"""),2.4727969E7)</f>
        <v>24727969</v>
      </c>
    </row>
    <row r="50">
      <c r="A50" s="3">
        <f>IFERROR(__xludf.DUMMYFUNCTION("""COMPUTED_VALUE"""),44999.66666666667)</f>
        <v>44999.66667</v>
      </c>
      <c r="B50" s="2">
        <f>IFERROR(__xludf.DUMMYFUNCTION("""COMPUTED_VALUE"""),187.58)</f>
        <v>187.58</v>
      </c>
      <c r="C50" s="2">
        <f>IFERROR(__xludf.DUMMYFUNCTION("""COMPUTED_VALUE"""),194.32)</f>
        <v>194.32</v>
      </c>
      <c r="D50" s="2">
        <f>IFERROR(__xludf.DUMMYFUNCTION("""COMPUTED_VALUE"""),186.56)</f>
        <v>186.56</v>
      </c>
      <c r="E50" s="2">
        <f>IFERROR(__xludf.DUMMYFUNCTION("""COMPUTED_VALUE"""),194.02)</f>
        <v>194.02</v>
      </c>
      <c r="F50" s="2">
        <f>IFERROR(__xludf.DUMMYFUNCTION("""COMPUTED_VALUE"""),4.1642627E7)</f>
        <v>41642627</v>
      </c>
    </row>
    <row r="51">
      <c r="A51" s="3">
        <f>IFERROR(__xludf.DUMMYFUNCTION("""COMPUTED_VALUE"""),45000.66666666667)</f>
        <v>45000.66667</v>
      </c>
      <c r="B51" s="2">
        <f>IFERROR(__xludf.DUMMYFUNCTION("""COMPUTED_VALUE"""),192.95)</f>
        <v>192.95</v>
      </c>
      <c r="C51" s="2">
        <f>IFERROR(__xludf.DUMMYFUNCTION("""COMPUTED_VALUE"""),197.78)</f>
        <v>197.78</v>
      </c>
      <c r="D51" s="2">
        <f>IFERROR(__xludf.DUMMYFUNCTION("""COMPUTED_VALUE"""),190.84)</f>
        <v>190.84</v>
      </c>
      <c r="E51" s="2">
        <f>IFERROR(__xludf.DUMMYFUNCTION("""COMPUTED_VALUE"""),197.75)</f>
        <v>197.75</v>
      </c>
      <c r="F51" s="2">
        <f>IFERROR(__xludf.DUMMYFUNCTION("""COMPUTED_VALUE"""),4.2123552E7)</f>
        <v>42123552</v>
      </c>
    </row>
    <row r="52">
      <c r="A52" s="3">
        <f>IFERROR(__xludf.DUMMYFUNCTION("""COMPUTED_VALUE"""),45001.66666666667)</f>
        <v>45001.66667</v>
      </c>
      <c r="B52" s="2">
        <f>IFERROR(__xludf.DUMMYFUNCTION("""COMPUTED_VALUE"""),198.26)</f>
        <v>198.26</v>
      </c>
      <c r="C52" s="2">
        <f>IFERROR(__xludf.DUMMYFUNCTION("""COMPUTED_VALUE"""),205.76)</f>
        <v>205.76</v>
      </c>
      <c r="D52" s="2">
        <f>IFERROR(__xludf.DUMMYFUNCTION("""COMPUTED_VALUE"""),196.09)</f>
        <v>196.09</v>
      </c>
      <c r="E52" s="2">
        <f>IFERROR(__xludf.DUMMYFUNCTION("""COMPUTED_VALUE"""),204.93)</f>
        <v>204.93</v>
      </c>
      <c r="F52" s="2">
        <f>IFERROR(__xludf.DUMMYFUNCTION("""COMPUTED_VALUE"""),5.0819659E7)</f>
        <v>50819659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IFERROR(__xludf.DUMMYFUNCTION("""COMPUTED_VALUE"""),200.56)</f>
        <v>200.56</v>
      </c>
      <c r="C53" s="2">
        <f>IFERROR(__xludf.DUMMYFUNCTION("""COMPUTED_VALUE"""),201.9)</f>
        <v>201.9</v>
      </c>
      <c r="D53" s="2">
        <f>IFERROR(__xludf.DUMMYFUNCTION("""COMPUTED_VALUE"""),195.43)</f>
        <v>195.43</v>
      </c>
      <c r="E53" s="2">
        <f>IFERROR(__xludf.DUMMYFUNCTION("""COMPUTED_VALUE"""),195.61)</f>
        <v>195.61</v>
      </c>
      <c r="F53" s="2">
        <f>IFERROR(__xludf.DUMMYFUNCTION("""COMPUTED_VALUE"""),5.0141098E7)</f>
        <v>50141098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IFERROR(__xludf.DUMMYFUNCTION("""COMPUTED_VALUE"""),198.48)</f>
        <v>198.48</v>
      </c>
      <c r="C54" s="2">
        <f>IFERROR(__xludf.DUMMYFUNCTION("""COMPUTED_VALUE"""),199.36)</f>
        <v>199.36</v>
      </c>
      <c r="D54" s="2">
        <f>IFERROR(__xludf.DUMMYFUNCTION("""COMPUTED_VALUE"""),193.64)</f>
        <v>193.64</v>
      </c>
      <c r="E54" s="2">
        <f>IFERROR(__xludf.DUMMYFUNCTION("""COMPUTED_VALUE"""),197.81)</f>
        <v>197.81</v>
      </c>
      <c r="F54" s="2">
        <f>IFERROR(__xludf.DUMMYFUNCTION("""COMPUTED_VALUE"""),2.5186315E7)</f>
        <v>25186315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IFERROR(__xludf.DUMMYFUNCTION("""COMPUTED_VALUE"""),203.2)</f>
        <v>203.2</v>
      </c>
      <c r="C55" s="2">
        <f>IFERROR(__xludf.DUMMYFUNCTION("""COMPUTED_VALUE"""),203.55)</f>
        <v>203.55</v>
      </c>
      <c r="D55" s="2">
        <f>IFERROR(__xludf.DUMMYFUNCTION("""COMPUTED_VALUE"""),197.95)</f>
        <v>197.95</v>
      </c>
      <c r="E55" s="2">
        <f>IFERROR(__xludf.DUMMYFUNCTION("""COMPUTED_VALUE"""),202.16)</f>
        <v>202.16</v>
      </c>
      <c r="F55" s="2">
        <f>IFERROR(__xludf.DUMMYFUNCTION("""COMPUTED_VALUE"""),3.1826952E7)</f>
        <v>31826952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IFERROR(__xludf.DUMMYFUNCTION("""COMPUTED_VALUE"""),202.5)</f>
        <v>202.5</v>
      </c>
      <c r="C56" s="2">
        <f>IFERROR(__xludf.DUMMYFUNCTION("""COMPUTED_VALUE"""),207.37)</f>
        <v>207.37</v>
      </c>
      <c r="D56" s="2">
        <f>IFERROR(__xludf.DUMMYFUNCTION("""COMPUTED_VALUE"""),199.67)</f>
        <v>199.67</v>
      </c>
      <c r="E56" s="2">
        <f>IFERROR(__xludf.DUMMYFUNCTION("""COMPUTED_VALUE"""),199.81)</f>
        <v>199.81</v>
      </c>
      <c r="F56" s="2">
        <f>IFERROR(__xludf.DUMMYFUNCTION("""COMPUTED_VALUE"""),2.8477759E7)</f>
        <v>28477759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IFERROR(__xludf.DUMMYFUNCTION("""COMPUTED_VALUE"""),202.84)</f>
        <v>202.84</v>
      </c>
      <c r="C57" s="2">
        <f>IFERROR(__xludf.DUMMYFUNCTION("""COMPUTED_VALUE"""),207.88)</f>
        <v>207.88</v>
      </c>
      <c r="D57" s="2">
        <f>IFERROR(__xludf.DUMMYFUNCTION("""COMPUTED_VALUE"""),202.15)</f>
        <v>202.15</v>
      </c>
      <c r="E57" s="2">
        <f>IFERROR(__xludf.DUMMYFUNCTION("""COMPUTED_VALUE"""),204.28)</f>
        <v>204.28</v>
      </c>
      <c r="F57" s="2">
        <f>IFERROR(__xludf.DUMMYFUNCTION("""COMPUTED_VALUE"""),2.7389669E7)</f>
        <v>27389669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IFERROR(__xludf.DUMMYFUNCTION("""COMPUTED_VALUE"""),205.18)</f>
        <v>205.18</v>
      </c>
      <c r="C58" s="2">
        <f>IFERROR(__xludf.DUMMYFUNCTION("""COMPUTED_VALUE"""),207.58)</f>
        <v>207.58</v>
      </c>
      <c r="D58" s="2">
        <f>IFERROR(__xludf.DUMMYFUNCTION("""COMPUTED_VALUE"""),203.55)</f>
        <v>203.55</v>
      </c>
      <c r="E58" s="2">
        <f>IFERROR(__xludf.DUMMYFUNCTION("""COMPUTED_VALUE"""),206.01)</f>
        <v>206.01</v>
      </c>
      <c r="F58" s="2">
        <f>IFERROR(__xludf.DUMMYFUNCTION("""COMPUTED_VALUE"""),2.7733042E7)</f>
        <v>27733042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IFERROR(__xludf.DUMMYFUNCTION("""COMPUTED_VALUE"""),204.81)</f>
        <v>204.81</v>
      </c>
      <c r="C59" s="2">
        <f>IFERROR(__xludf.DUMMYFUNCTION("""COMPUTED_VALUE"""),205.86)</f>
        <v>205.86</v>
      </c>
      <c r="D59" s="2">
        <f>IFERROR(__xludf.DUMMYFUNCTION("""COMPUTED_VALUE"""),201.36)</f>
        <v>201.36</v>
      </c>
      <c r="E59" s="2">
        <f>IFERROR(__xludf.DUMMYFUNCTION("""COMPUTED_VALUE"""),202.84)</f>
        <v>202.84</v>
      </c>
      <c r="F59" s="2">
        <f>IFERROR(__xludf.DUMMYFUNCTION("""COMPUTED_VALUE"""),1.8527184E7)</f>
        <v>18527184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IFERROR(__xludf.DUMMYFUNCTION("""COMPUTED_VALUE"""),200.15)</f>
        <v>200.15</v>
      </c>
      <c r="C60" s="2">
        <f>IFERROR(__xludf.DUMMYFUNCTION("""COMPUTED_VALUE"""),201.03)</f>
        <v>201.03</v>
      </c>
      <c r="D60" s="2">
        <f>IFERROR(__xludf.DUMMYFUNCTION("""COMPUTED_VALUE"""),197.9)</f>
        <v>197.9</v>
      </c>
      <c r="E60" s="2">
        <f>IFERROR(__xludf.DUMMYFUNCTION("""COMPUTED_VALUE"""),200.68)</f>
        <v>200.68</v>
      </c>
      <c r="F60" s="2">
        <f>IFERROR(__xludf.DUMMYFUNCTION("""COMPUTED_VALUE"""),1.9127295E7)</f>
        <v>19127295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IFERROR(__xludf.DUMMYFUNCTION("""COMPUTED_VALUE"""),203.56)</f>
        <v>203.56</v>
      </c>
      <c r="C61" s="2">
        <f>IFERROR(__xludf.DUMMYFUNCTION("""COMPUTED_VALUE"""),205.72)</f>
        <v>205.72</v>
      </c>
      <c r="D61" s="2">
        <f>IFERROR(__xludf.DUMMYFUNCTION("""COMPUTED_VALUE"""),202.54)</f>
        <v>202.54</v>
      </c>
      <c r="E61" s="2">
        <f>IFERROR(__xludf.DUMMYFUNCTION("""COMPUTED_VALUE"""),205.35)</f>
        <v>205.35</v>
      </c>
      <c r="F61" s="2">
        <f>IFERROR(__xludf.DUMMYFUNCTION("""COMPUTED_VALUE"""),1.8851137E7)</f>
        <v>18851137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IFERROR(__xludf.DUMMYFUNCTION("""COMPUTED_VALUE"""),203.38)</f>
        <v>203.38</v>
      </c>
      <c r="C62" s="2">
        <f>IFERROR(__xludf.DUMMYFUNCTION("""COMPUTED_VALUE"""),208.09)</f>
        <v>208.09</v>
      </c>
      <c r="D62" s="2">
        <f>IFERROR(__xludf.DUMMYFUNCTION("""COMPUTED_VALUE"""),202.82)</f>
        <v>202.82</v>
      </c>
      <c r="E62" s="2">
        <f>IFERROR(__xludf.DUMMYFUNCTION("""COMPUTED_VALUE"""),207.84)</f>
        <v>207.84</v>
      </c>
      <c r="F62" s="2">
        <f>IFERROR(__xludf.DUMMYFUNCTION("""COMPUTED_VALUE"""),2.2608303E7)</f>
        <v>22608303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IFERROR(__xludf.DUMMYFUNCTION("""COMPUTED_VALUE"""),207.24)</f>
        <v>207.24</v>
      </c>
      <c r="C63" s="2">
        <f>IFERROR(__xludf.DUMMYFUNCTION("""COMPUTED_VALUE"""),212.17)</f>
        <v>212.17</v>
      </c>
      <c r="D63" s="2">
        <f>IFERROR(__xludf.DUMMYFUNCTION("""COMPUTED_VALUE"""),206.77)</f>
        <v>206.77</v>
      </c>
      <c r="E63" s="2">
        <f>IFERROR(__xludf.DUMMYFUNCTION("""COMPUTED_VALUE"""),211.94)</f>
        <v>211.94</v>
      </c>
      <c r="F63" s="2">
        <f>IFERROR(__xludf.DUMMYFUNCTION("""COMPUTED_VALUE"""),2.5440273E7)</f>
        <v>25440273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IFERROR(__xludf.DUMMYFUNCTION("""COMPUTED_VALUE"""),208.84)</f>
        <v>208.84</v>
      </c>
      <c r="C64" s="2">
        <f>IFERROR(__xludf.DUMMYFUNCTION("""COMPUTED_VALUE"""),213.49)</f>
        <v>213.49</v>
      </c>
      <c r="D64" s="2">
        <f>IFERROR(__xludf.DUMMYFUNCTION("""COMPUTED_VALUE"""),208.2)</f>
        <v>208.2</v>
      </c>
      <c r="E64" s="2">
        <f>IFERROR(__xludf.DUMMYFUNCTION("""COMPUTED_VALUE"""),213.07)</f>
        <v>213.07</v>
      </c>
      <c r="F64" s="2">
        <f>IFERROR(__xludf.DUMMYFUNCTION("""COMPUTED_VALUE"""),1.7924613E7)</f>
        <v>17924613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IFERROR(__xludf.DUMMYFUNCTION("""COMPUTED_VALUE"""),213.39)</f>
        <v>213.39</v>
      </c>
      <c r="C65" s="2">
        <f>IFERROR(__xludf.DUMMYFUNCTION("""COMPUTED_VALUE"""),216.24)</f>
        <v>216.24</v>
      </c>
      <c r="D65" s="2">
        <f>IFERROR(__xludf.DUMMYFUNCTION("""COMPUTED_VALUE"""),212.54)</f>
        <v>212.54</v>
      </c>
      <c r="E65" s="2">
        <f>IFERROR(__xludf.DUMMYFUNCTION("""COMPUTED_VALUE"""),214.72)</f>
        <v>214.72</v>
      </c>
      <c r="F65" s="2">
        <f>IFERROR(__xludf.DUMMYFUNCTION("""COMPUTED_VALUE"""),2.1026367E7)</f>
        <v>21026367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IFERROR(__xludf.DUMMYFUNCTION("""COMPUTED_VALUE"""),214.15)</f>
        <v>214.15</v>
      </c>
      <c r="C66" s="2">
        <f>IFERROR(__xludf.DUMMYFUNCTION("""COMPUTED_VALUE"""),215.19)</f>
        <v>215.19</v>
      </c>
      <c r="D66" s="2">
        <f>IFERROR(__xludf.DUMMYFUNCTION("""COMPUTED_VALUE"""),209.94)</f>
        <v>209.94</v>
      </c>
      <c r="E66" s="2">
        <f>IFERROR(__xludf.DUMMYFUNCTION("""COMPUTED_VALUE"""),211.48)</f>
        <v>211.48</v>
      </c>
      <c r="F66" s="2">
        <f>IFERROR(__xludf.DUMMYFUNCTION("""COMPUTED_VALUE"""),1.939663E7)</f>
        <v>19396630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IFERROR(__xludf.DUMMYFUNCTION("""COMPUTED_VALUE"""),209.25)</f>
        <v>209.25</v>
      </c>
      <c r="C67" s="2">
        <f>IFERROR(__xludf.DUMMYFUNCTION("""COMPUTED_VALUE"""),216.94)</f>
        <v>216.94</v>
      </c>
      <c r="D67" s="2">
        <f>IFERROR(__xludf.DUMMYFUNCTION("""COMPUTED_VALUE"""),208.65)</f>
        <v>208.65</v>
      </c>
      <c r="E67" s="2">
        <f>IFERROR(__xludf.DUMMYFUNCTION("""COMPUTED_VALUE"""),216.1)</f>
        <v>216.1</v>
      </c>
      <c r="F67" s="2">
        <f>IFERROR(__xludf.DUMMYFUNCTION("""COMPUTED_VALUE"""),2.6104411E7)</f>
        <v>26104411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IFERROR(__xludf.DUMMYFUNCTION("""COMPUTED_VALUE"""),214.71)</f>
        <v>214.71</v>
      </c>
      <c r="C68" s="2">
        <f>IFERROR(__xludf.DUMMYFUNCTION("""COMPUTED_VALUE"""),215.66)</f>
        <v>215.66</v>
      </c>
      <c r="D68" s="2">
        <f>IFERROR(__xludf.DUMMYFUNCTION("""COMPUTED_VALUE"""),210.66)</f>
        <v>210.66</v>
      </c>
      <c r="E68" s="2">
        <f>IFERROR(__xludf.DUMMYFUNCTION("""COMPUTED_VALUE"""),214.75)</f>
        <v>214.75</v>
      </c>
      <c r="F68" s="2">
        <f>IFERROR(__xludf.DUMMYFUNCTION("""COMPUTED_VALUE"""),1.6106074E7)</f>
        <v>16106074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IFERROR(__xludf.DUMMYFUNCTION("""COMPUTED_VALUE"""),215.48)</f>
        <v>215.48</v>
      </c>
      <c r="C69" s="2">
        <f>IFERROR(__xludf.DUMMYFUNCTION("""COMPUTED_VALUE"""),216.02)</f>
        <v>216.02</v>
      </c>
      <c r="D69" s="2">
        <f>IFERROR(__xludf.DUMMYFUNCTION("""COMPUTED_VALUE"""),213.41)</f>
        <v>213.41</v>
      </c>
      <c r="E69" s="2">
        <f>IFERROR(__xludf.DUMMYFUNCTION("""COMPUTED_VALUE"""),213.85)</f>
        <v>213.85</v>
      </c>
      <c r="F69" s="2">
        <f>IFERROR(__xludf.DUMMYFUNCTION("""COMPUTED_VALUE"""),1.6710101E7)</f>
        <v>16710101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IFERROR(__xludf.DUMMYFUNCTION("""COMPUTED_VALUE"""),214.84)</f>
        <v>214.84</v>
      </c>
      <c r="C70" s="2">
        <f>IFERROR(__xludf.DUMMYFUNCTION("""COMPUTED_VALUE"""),216.84)</f>
        <v>216.84</v>
      </c>
      <c r="D70" s="2">
        <f>IFERROR(__xludf.DUMMYFUNCTION("""COMPUTED_VALUE"""),212.58)</f>
        <v>212.58</v>
      </c>
      <c r="E70" s="2">
        <f>IFERROR(__xludf.DUMMYFUNCTION("""COMPUTED_VALUE"""),214.0)</f>
        <v>214</v>
      </c>
      <c r="F70" s="2">
        <f>IFERROR(__xludf.DUMMYFUNCTION("""COMPUTED_VALUE"""),1.8972172E7)</f>
        <v>18972172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IFERROR(__xludf.DUMMYFUNCTION("""COMPUTED_VALUE"""),215.73)</f>
        <v>215.73</v>
      </c>
      <c r="C71" s="2">
        <f>IFERROR(__xludf.DUMMYFUNCTION("""COMPUTED_VALUE"""),221.15)</f>
        <v>221.15</v>
      </c>
      <c r="D71" s="2">
        <f>IFERROR(__xludf.DUMMYFUNCTION("""COMPUTED_VALUE"""),215.69)</f>
        <v>215.69</v>
      </c>
      <c r="E71" s="2">
        <f>IFERROR(__xludf.DUMMYFUNCTION("""COMPUTED_VALUE"""),220.35)</f>
        <v>220.35</v>
      </c>
      <c r="F71" s="2">
        <f>IFERROR(__xludf.DUMMYFUNCTION("""COMPUTED_VALUE"""),2.3310357E7)</f>
        <v>23310357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IFERROR(__xludf.DUMMYFUNCTION("""COMPUTED_VALUE"""),217.88)</f>
        <v>217.88</v>
      </c>
      <c r="C72" s="2">
        <f>IFERROR(__xludf.DUMMYFUNCTION("""COMPUTED_VALUE"""),222.11)</f>
        <v>222.11</v>
      </c>
      <c r="D72" s="2">
        <f>IFERROR(__xludf.DUMMYFUNCTION("""COMPUTED_VALUE"""),217.55)</f>
        <v>217.55</v>
      </c>
      <c r="E72" s="2">
        <f>IFERROR(__xludf.DUMMYFUNCTION("""COMPUTED_VALUE"""),221.49)</f>
        <v>221.49</v>
      </c>
      <c r="F72" s="2">
        <f>IFERROR(__xludf.DUMMYFUNCTION("""COMPUTED_VALUE"""),2.1591207E7)</f>
        <v>21591207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IFERROR(__xludf.DUMMYFUNCTION("""COMPUTED_VALUE"""),219.79)</f>
        <v>219.79</v>
      </c>
      <c r="C73" s="2">
        <f>IFERROR(__xludf.DUMMYFUNCTION("""COMPUTED_VALUE"""),220.98)</f>
        <v>220.98</v>
      </c>
      <c r="D73" s="2">
        <f>IFERROR(__xludf.DUMMYFUNCTION("""COMPUTED_VALUE"""),217.13)</f>
        <v>217.13</v>
      </c>
      <c r="E73" s="2">
        <f>IFERROR(__xludf.DUMMYFUNCTION("""COMPUTED_VALUE"""),218.86)</f>
        <v>218.86</v>
      </c>
      <c r="F73" s="2">
        <f>IFERROR(__xludf.DUMMYFUNCTION("""COMPUTED_VALUE"""),1.5481874E7)</f>
        <v>15481874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IFERROR(__xludf.DUMMYFUNCTION("""COMPUTED_VALUE"""),219.91)</f>
        <v>219.91</v>
      </c>
      <c r="C74" s="2">
        <f>IFERROR(__xludf.DUMMYFUNCTION("""COMPUTED_VALUE"""),220.44)</f>
        <v>220.44</v>
      </c>
      <c r="D74" s="2">
        <f>IFERROR(__xludf.DUMMYFUNCTION("""COMPUTED_VALUE"""),216.21)</f>
        <v>216.21</v>
      </c>
      <c r="E74" s="2">
        <f>IFERROR(__xludf.DUMMYFUNCTION("""COMPUTED_VALUE"""),217.89)</f>
        <v>217.89</v>
      </c>
      <c r="F74" s="2">
        <f>IFERROR(__xludf.DUMMYFUNCTION("""COMPUTED_VALUE"""),1.2280984E7)</f>
        <v>12280984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IFERROR(__xludf.DUMMYFUNCTION("""COMPUTED_VALUE"""),213.47)</f>
        <v>213.47</v>
      </c>
      <c r="C75" s="2">
        <f>IFERROR(__xludf.DUMMYFUNCTION("""COMPUTED_VALUE"""),217.33)</f>
        <v>217.33</v>
      </c>
      <c r="D75" s="2">
        <f>IFERROR(__xludf.DUMMYFUNCTION("""COMPUTED_VALUE"""),212.93)</f>
        <v>212.93</v>
      </c>
      <c r="E75" s="2">
        <f>IFERROR(__xludf.DUMMYFUNCTION("""COMPUTED_VALUE"""),215.7)</f>
        <v>215.7</v>
      </c>
      <c r="F75" s="2">
        <f>IFERROR(__xludf.DUMMYFUNCTION("""COMPUTED_VALUE"""),1.5898078E7)</f>
        <v>15898078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IFERROR(__xludf.DUMMYFUNCTION("""COMPUTED_VALUE"""),213.48)</f>
        <v>213.48</v>
      </c>
      <c r="C76" s="2">
        <f>IFERROR(__xludf.DUMMYFUNCTION("""COMPUTED_VALUE"""),216.75)</f>
        <v>216.75</v>
      </c>
      <c r="D76" s="2">
        <f>IFERROR(__xludf.DUMMYFUNCTION("""COMPUTED_VALUE"""),212.77)</f>
        <v>212.77</v>
      </c>
      <c r="E76" s="2">
        <f>IFERROR(__xludf.DUMMYFUNCTION("""COMPUTED_VALUE"""),213.07)</f>
        <v>213.07</v>
      </c>
      <c r="F76" s="2">
        <f>IFERROR(__xludf.DUMMYFUNCTION("""COMPUTED_VALUE"""),1.6475443E7)</f>
        <v>16475443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IFERROR(__xludf.DUMMYFUNCTION("""COMPUTED_VALUE"""),210.21)</f>
        <v>210.21</v>
      </c>
      <c r="C77" s="2">
        <f>IFERROR(__xludf.DUMMYFUNCTION("""COMPUTED_VALUE"""),213.41)</f>
        <v>213.41</v>
      </c>
      <c r="D77" s="2">
        <f>IFERROR(__xludf.DUMMYFUNCTION("""COMPUTED_VALUE"""),209.58)</f>
        <v>209.58</v>
      </c>
      <c r="E77" s="2">
        <f>IFERROR(__xludf.DUMMYFUNCTION("""COMPUTED_VALUE"""),212.89)</f>
        <v>212.89</v>
      </c>
      <c r="F77" s="2">
        <f>IFERROR(__xludf.DUMMYFUNCTION("""COMPUTED_VALUE"""),1.7717166E7)</f>
        <v>17717166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IFERROR(__xludf.DUMMYFUNCTION("""COMPUTED_VALUE"""),213.68)</f>
        <v>213.68</v>
      </c>
      <c r="C78" s="2">
        <f>IFERROR(__xludf.DUMMYFUNCTION("""COMPUTED_VALUE"""),213.92)</f>
        <v>213.92</v>
      </c>
      <c r="D78" s="2">
        <f>IFERROR(__xludf.DUMMYFUNCTION("""COMPUTED_VALUE"""),210.71)</f>
        <v>210.71</v>
      </c>
      <c r="E78" s="2">
        <f>IFERROR(__xludf.DUMMYFUNCTION("""COMPUTED_VALUE"""),212.79)</f>
        <v>212.79</v>
      </c>
      <c r="F78" s="2">
        <f>IFERROR(__xludf.DUMMYFUNCTION("""COMPUTED_VALUE"""),1.575092E7)</f>
        <v>15750920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IFERROR(__xludf.DUMMYFUNCTION("""COMPUTED_VALUE"""),210.82)</f>
        <v>210.82</v>
      </c>
      <c r="C79" s="2">
        <f>IFERROR(__xludf.DUMMYFUNCTION("""COMPUTED_VALUE"""),211.26)</f>
        <v>211.26</v>
      </c>
      <c r="D79" s="2">
        <f>IFERROR(__xludf.DUMMYFUNCTION("""COMPUTED_VALUE"""),207.13)</f>
        <v>207.13</v>
      </c>
      <c r="E79" s="2">
        <f>IFERROR(__xludf.DUMMYFUNCTION("""COMPUTED_VALUE"""),207.55)</f>
        <v>207.55</v>
      </c>
      <c r="F79" s="2">
        <f>IFERROR(__xludf.DUMMYFUNCTION("""COMPUTED_VALUE"""),1.9198175E7)</f>
        <v>19198175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IFERROR(__xludf.DUMMYFUNCTION("""COMPUTED_VALUE"""),212.5)</f>
        <v>212.5</v>
      </c>
      <c r="C80" s="2">
        <f>IFERROR(__xludf.DUMMYFUNCTION("""COMPUTED_VALUE"""),214.11)</f>
        <v>214.11</v>
      </c>
      <c r="D80" s="2">
        <f>IFERROR(__xludf.DUMMYFUNCTION("""COMPUTED_VALUE"""),208.88)</f>
        <v>208.88</v>
      </c>
      <c r="E80" s="2">
        <f>IFERROR(__xludf.DUMMYFUNCTION("""COMPUTED_VALUE"""),209.4)</f>
        <v>209.4</v>
      </c>
      <c r="F80" s="2">
        <f>IFERROR(__xludf.DUMMYFUNCTION("""COMPUTED_VALUE"""),4.1992726E7)</f>
        <v>41992726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IFERROR(__xludf.DUMMYFUNCTION("""COMPUTED_VALUE"""),239.89)</f>
        <v>239.89</v>
      </c>
      <c r="C81" s="2">
        <f>IFERROR(__xludf.DUMMYFUNCTION("""COMPUTED_VALUE"""),241.69)</f>
        <v>241.69</v>
      </c>
      <c r="D81" s="2">
        <f>IFERROR(__xludf.DUMMYFUNCTION("""COMPUTED_VALUE"""),236.77)</f>
        <v>236.77</v>
      </c>
      <c r="E81" s="2">
        <f>IFERROR(__xludf.DUMMYFUNCTION("""COMPUTED_VALUE"""),238.56)</f>
        <v>238.56</v>
      </c>
      <c r="F81" s="2">
        <f>IFERROR(__xludf.DUMMYFUNCTION("""COMPUTED_VALUE"""),7.1196531E7)</f>
        <v>71196531</v>
      </c>
    </row>
    <row r="82">
      <c r="A82" s="3">
        <f>IFERROR(__xludf.DUMMYFUNCTION("""COMPUTED_VALUE"""),45044.66666666667)</f>
        <v>45044.66667</v>
      </c>
      <c r="B82" s="2">
        <f>IFERROR(__xludf.DUMMYFUNCTION("""COMPUTED_VALUE"""),239.01)</f>
        <v>239.01</v>
      </c>
      <c r="C82" s="2">
        <f>IFERROR(__xludf.DUMMYFUNCTION("""COMPUTED_VALUE"""),240.43)</f>
        <v>240.43</v>
      </c>
      <c r="D82" s="2">
        <f>IFERROR(__xludf.DUMMYFUNCTION("""COMPUTED_VALUE"""),235.75)</f>
        <v>235.75</v>
      </c>
      <c r="E82" s="2">
        <f>IFERROR(__xludf.DUMMYFUNCTION("""COMPUTED_VALUE"""),240.32)</f>
        <v>240.32</v>
      </c>
      <c r="F82" s="2">
        <f>IFERROR(__xludf.DUMMYFUNCTION("""COMPUTED_VALUE"""),3.9554036E7)</f>
        <v>39554036</v>
      </c>
    </row>
    <row r="83">
      <c r="A83" s="3">
        <f>IFERROR(__xludf.DUMMYFUNCTION("""COMPUTED_VALUE"""),45047.66666666667)</f>
        <v>45047.66667</v>
      </c>
      <c r="B83" s="2">
        <f>IFERROR(__xludf.DUMMYFUNCTION("""COMPUTED_VALUE"""),238.62)</f>
        <v>238.62</v>
      </c>
      <c r="C83" s="2">
        <f>IFERROR(__xludf.DUMMYFUNCTION("""COMPUTED_VALUE"""),244.0)</f>
        <v>244</v>
      </c>
      <c r="D83" s="2">
        <f>IFERROR(__xludf.DUMMYFUNCTION("""COMPUTED_VALUE"""),236.46)</f>
        <v>236.46</v>
      </c>
      <c r="E83" s="2">
        <f>IFERROR(__xludf.DUMMYFUNCTION("""COMPUTED_VALUE"""),243.18)</f>
        <v>243.18</v>
      </c>
      <c r="F83" s="2">
        <f>IFERROR(__xludf.DUMMYFUNCTION("""COMPUTED_VALUE"""),2.9143912E7)</f>
        <v>29143912</v>
      </c>
    </row>
    <row r="84">
      <c r="A84" s="3">
        <f>IFERROR(__xludf.DUMMYFUNCTION("""COMPUTED_VALUE"""),45048.66666666667)</f>
        <v>45048.66667</v>
      </c>
      <c r="B84" s="2">
        <f>IFERROR(__xludf.DUMMYFUNCTION("""COMPUTED_VALUE"""),243.18)</f>
        <v>243.18</v>
      </c>
      <c r="C84" s="2">
        <f>IFERROR(__xludf.DUMMYFUNCTION("""COMPUTED_VALUE"""),244.92)</f>
        <v>244.92</v>
      </c>
      <c r="D84" s="2">
        <f>IFERROR(__xludf.DUMMYFUNCTION("""COMPUTED_VALUE"""),238.99)</f>
        <v>238.99</v>
      </c>
      <c r="E84" s="2">
        <f>IFERROR(__xludf.DUMMYFUNCTION("""COMPUTED_VALUE"""),239.24)</f>
        <v>239.24</v>
      </c>
      <c r="F84" s="2">
        <f>IFERROR(__xludf.DUMMYFUNCTION("""COMPUTED_VALUE"""),2.4350149E7)</f>
        <v>24350149</v>
      </c>
    </row>
    <row r="85">
      <c r="A85" s="3">
        <f>IFERROR(__xludf.DUMMYFUNCTION("""COMPUTED_VALUE"""),45049.66666666667)</f>
        <v>45049.66667</v>
      </c>
      <c r="B85" s="2">
        <f>IFERROR(__xludf.DUMMYFUNCTION("""COMPUTED_VALUE"""),239.47)</f>
        <v>239.47</v>
      </c>
      <c r="C85" s="2">
        <f>IFERROR(__xludf.DUMMYFUNCTION("""COMPUTED_VALUE"""),241.75)</f>
        <v>241.75</v>
      </c>
      <c r="D85" s="2">
        <f>IFERROR(__xludf.DUMMYFUNCTION("""COMPUTED_VALUE"""),232.75)</f>
        <v>232.75</v>
      </c>
      <c r="E85" s="2">
        <f>IFERROR(__xludf.DUMMYFUNCTION("""COMPUTED_VALUE"""),237.03)</f>
        <v>237.03</v>
      </c>
      <c r="F85" s="2">
        <f>IFERROR(__xludf.DUMMYFUNCTION("""COMPUTED_VALUE"""),3.4463859E7)</f>
        <v>34463859</v>
      </c>
    </row>
    <row r="86">
      <c r="A86" s="3">
        <f>IFERROR(__xludf.DUMMYFUNCTION("""COMPUTED_VALUE"""),45050.66666666667)</f>
        <v>45050.66667</v>
      </c>
      <c r="B86" s="2">
        <f>IFERROR(__xludf.DUMMYFUNCTION("""COMPUTED_VALUE"""),236.06)</f>
        <v>236.06</v>
      </c>
      <c r="C86" s="2">
        <f>IFERROR(__xludf.DUMMYFUNCTION("""COMPUTED_VALUE"""),238.2)</f>
        <v>238.2</v>
      </c>
      <c r="D86" s="2">
        <f>IFERROR(__xludf.DUMMYFUNCTION("""COMPUTED_VALUE"""),232.93)</f>
        <v>232.93</v>
      </c>
      <c r="E86" s="2">
        <f>IFERROR(__xludf.DUMMYFUNCTION("""COMPUTED_VALUE"""),233.52)</f>
        <v>233.52</v>
      </c>
      <c r="F86" s="2">
        <f>IFERROR(__xludf.DUMMYFUNCTION("""COMPUTED_VALUE"""),1.7889391E7)</f>
        <v>17889391</v>
      </c>
    </row>
    <row r="87">
      <c r="A87" s="3">
        <f>IFERROR(__xludf.DUMMYFUNCTION("""COMPUTED_VALUE"""),45051.66666666667)</f>
        <v>45051.66667</v>
      </c>
      <c r="B87" s="2">
        <f>IFERROR(__xludf.DUMMYFUNCTION("""COMPUTED_VALUE"""),232.24)</f>
        <v>232.24</v>
      </c>
      <c r="C87" s="2">
        <f>IFERROR(__xludf.DUMMYFUNCTION("""COMPUTED_VALUE"""),234.68)</f>
        <v>234.68</v>
      </c>
      <c r="D87" s="2">
        <f>IFERROR(__xludf.DUMMYFUNCTION("""COMPUTED_VALUE"""),229.85)</f>
        <v>229.85</v>
      </c>
      <c r="E87" s="2">
        <f>IFERROR(__xludf.DUMMYFUNCTION("""COMPUTED_VALUE"""),232.78)</f>
        <v>232.78</v>
      </c>
      <c r="F87" s="2">
        <f>IFERROR(__xludf.DUMMYFUNCTION("""COMPUTED_VALUE"""),2.700048E7)</f>
        <v>27000480</v>
      </c>
    </row>
    <row r="88">
      <c r="A88" s="3">
        <f>IFERROR(__xludf.DUMMYFUNCTION("""COMPUTED_VALUE"""),45054.66666666667)</f>
        <v>45054.66667</v>
      </c>
      <c r="B88" s="2">
        <f>IFERROR(__xludf.DUMMYFUNCTION("""COMPUTED_VALUE"""),231.42)</f>
        <v>231.42</v>
      </c>
      <c r="C88" s="2">
        <f>IFERROR(__xludf.DUMMYFUNCTION("""COMPUTED_VALUE"""),235.62)</f>
        <v>235.62</v>
      </c>
      <c r="D88" s="2">
        <f>IFERROR(__xludf.DUMMYFUNCTION("""COMPUTED_VALUE"""),230.27)</f>
        <v>230.27</v>
      </c>
      <c r="E88" s="2">
        <f>IFERROR(__xludf.DUMMYFUNCTION("""COMPUTED_VALUE"""),233.27)</f>
        <v>233.27</v>
      </c>
      <c r="F88" s="2">
        <f>IFERROR(__xludf.DUMMYFUNCTION("""COMPUTED_VALUE"""),1.6400526E7)</f>
        <v>16400526</v>
      </c>
    </row>
    <row r="89">
      <c r="A89" s="3">
        <f>IFERROR(__xludf.DUMMYFUNCTION("""COMPUTED_VALUE"""),45055.66666666667)</f>
        <v>45055.66667</v>
      </c>
      <c r="B89" s="2">
        <f>IFERROR(__xludf.DUMMYFUNCTION("""COMPUTED_VALUE"""),231.46)</f>
        <v>231.46</v>
      </c>
      <c r="C89" s="2">
        <f>IFERROR(__xludf.DUMMYFUNCTION("""COMPUTED_VALUE"""),235.88)</f>
        <v>235.88</v>
      </c>
      <c r="D89" s="2">
        <f>IFERROR(__xludf.DUMMYFUNCTION("""COMPUTED_VALUE"""),231.08)</f>
        <v>231.08</v>
      </c>
      <c r="E89" s="2">
        <f>IFERROR(__xludf.DUMMYFUNCTION("""COMPUTED_VALUE"""),233.37)</f>
        <v>233.37</v>
      </c>
      <c r="F89" s="2">
        <f>IFERROR(__xludf.DUMMYFUNCTION("""COMPUTED_VALUE"""),1.6865587E7)</f>
        <v>16865587</v>
      </c>
    </row>
    <row r="90">
      <c r="A90" s="3">
        <f>IFERROR(__xludf.DUMMYFUNCTION("""COMPUTED_VALUE"""),45056.66666666667)</f>
        <v>45056.66667</v>
      </c>
      <c r="B90" s="2">
        <f>IFERROR(__xludf.DUMMYFUNCTION("""COMPUTED_VALUE"""),236.17)</f>
        <v>236.17</v>
      </c>
      <c r="C90" s="2">
        <f>IFERROR(__xludf.DUMMYFUNCTION("""COMPUTED_VALUE"""),236.75)</f>
        <v>236.75</v>
      </c>
      <c r="D90" s="2">
        <f>IFERROR(__xludf.DUMMYFUNCTION("""COMPUTED_VALUE"""),230.72)</f>
        <v>230.72</v>
      </c>
      <c r="E90" s="2">
        <f>IFERROR(__xludf.DUMMYFUNCTION("""COMPUTED_VALUE"""),233.08)</f>
        <v>233.08</v>
      </c>
      <c r="F90" s="2">
        <f>IFERROR(__xludf.DUMMYFUNCTION("""COMPUTED_VALUE"""),1.9119007E7)</f>
        <v>19119007</v>
      </c>
    </row>
    <row r="91">
      <c r="A91" s="3">
        <f>IFERROR(__xludf.DUMMYFUNCTION("""COMPUTED_VALUE"""),45057.66666666667)</f>
        <v>45057.66667</v>
      </c>
      <c r="B91" s="2">
        <f>IFERROR(__xludf.DUMMYFUNCTION("""COMPUTED_VALUE"""),233.05)</f>
        <v>233.05</v>
      </c>
      <c r="C91" s="2">
        <f>IFERROR(__xludf.DUMMYFUNCTION("""COMPUTED_VALUE"""),238.21)</f>
        <v>238.21</v>
      </c>
      <c r="D91" s="2">
        <f>IFERROR(__xludf.DUMMYFUNCTION("""COMPUTED_VALUE"""),232.3)</f>
        <v>232.3</v>
      </c>
      <c r="E91" s="2">
        <f>IFERROR(__xludf.DUMMYFUNCTION("""COMPUTED_VALUE"""),235.79)</f>
        <v>235.79</v>
      </c>
      <c r="F91" s="2">
        <f>IFERROR(__xludf.DUMMYFUNCTION("""COMPUTED_VALUE"""),2.0448991E7)</f>
        <v>20448991</v>
      </c>
    </row>
    <row r="92">
      <c r="A92" s="3">
        <f>IFERROR(__xludf.DUMMYFUNCTION("""COMPUTED_VALUE"""),45058.66666666667)</f>
        <v>45058.66667</v>
      </c>
      <c r="B92" s="2">
        <f>IFERROR(__xludf.DUMMYFUNCTION("""COMPUTED_VALUE"""),236.74)</f>
        <v>236.74</v>
      </c>
      <c r="C92" s="2">
        <f>IFERROR(__xludf.DUMMYFUNCTION("""COMPUTED_VALUE"""),236.96)</f>
        <v>236.96</v>
      </c>
      <c r="D92" s="2">
        <f>IFERROR(__xludf.DUMMYFUNCTION("""COMPUTED_VALUE"""),231.45)</f>
        <v>231.45</v>
      </c>
      <c r="E92" s="2">
        <f>IFERROR(__xludf.DUMMYFUNCTION("""COMPUTED_VALUE"""),233.81)</f>
        <v>233.81</v>
      </c>
      <c r="F92" s="2">
        <f>IFERROR(__xludf.DUMMYFUNCTION("""COMPUTED_VALUE"""),1.6161447E7)</f>
        <v>16161447</v>
      </c>
    </row>
    <row r="93">
      <c r="A93" s="3">
        <f>IFERROR(__xludf.DUMMYFUNCTION("""COMPUTED_VALUE"""),45061.66666666667)</f>
        <v>45061.66667</v>
      </c>
      <c r="B93" s="2">
        <f>IFERROR(__xludf.DUMMYFUNCTION("""COMPUTED_VALUE"""),236.92)</f>
        <v>236.92</v>
      </c>
      <c r="C93" s="2">
        <f>IFERROR(__xludf.DUMMYFUNCTION("""COMPUTED_VALUE"""),240.26)</f>
        <v>240.26</v>
      </c>
      <c r="D93" s="2">
        <f>IFERROR(__xludf.DUMMYFUNCTION("""COMPUTED_VALUE"""),235.33)</f>
        <v>235.33</v>
      </c>
      <c r="E93" s="2">
        <f>IFERROR(__xludf.DUMMYFUNCTION("""COMPUTED_VALUE"""),238.86)</f>
        <v>238.86</v>
      </c>
      <c r="F93" s="2">
        <f>IFERROR(__xludf.DUMMYFUNCTION("""COMPUTED_VALUE"""),2.0653229E7)</f>
        <v>20653229</v>
      </c>
    </row>
    <row r="94">
      <c r="A94" s="3">
        <f>IFERROR(__xludf.DUMMYFUNCTION("""COMPUTED_VALUE"""),45062.66666666667)</f>
        <v>45062.66667</v>
      </c>
      <c r="B94" s="2">
        <f>IFERROR(__xludf.DUMMYFUNCTION("""COMPUTED_VALUE"""),235.79)</f>
        <v>235.79</v>
      </c>
      <c r="C94" s="2">
        <f>IFERROR(__xludf.DUMMYFUNCTION("""COMPUTED_VALUE"""),239.64)</f>
        <v>239.64</v>
      </c>
      <c r="D94" s="2">
        <f>IFERROR(__xludf.DUMMYFUNCTION("""COMPUTED_VALUE"""),235.52)</f>
        <v>235.52</v>
      </c>
      <c r="E94" s="2">
        <f>IFERROR(__xludf.DUMMYFUNCTION("""COMPUTED_VALUE"""),238.82)</f>
        <v>238.82</v>
      </c>
      <c r="F94" s="2">
        <f>IFERROR(__xludf.DUMMYFUNCTION("""COMPUTED_VALUE"""),1.8163772E7)</f>
        <v>18163772</v>
      </c>
    </row>
    <row r="95">
      <c r="A95" s="3">
        <f>IFERROR(__xludf.DUMMYFUNCTION("""COMPUTED_VALUE"""),45063.66666666667)</f>
        <v>45063.66667</v>
      </c>
      <c r="B95" s="2">
        <f>IFERROR(__xludf.DUMMYFUNCTION("""COMPUTED_VALUE"""),238.45)</f>
        <v>238.45</v>
      </c>
      <c r="C95" s="2">
        <f>IFERROR(__xludf.DUMMYFUNCTION("""COMPUTED_VALUE"""),243.84)</f>
        <v>243.84</v>
      </c>
      <c r="D95" s="2">
        <f>IFERROR(__xludf.DUMMYFUNCTION("""COMPUTED_VALUE"""),238.14)</f>
        <v>238.14</v>
      </c>
      <c r="E95" s="2">
        <f>IFERROR(__xludf.DUMMYFUNCTION("""COMPUTED_VALUE"""),242.49)</f>
        <v>242.49</v>
      </c>
      <c r="F95" s="2">
        <f>IFERROR(__xludf.DUMMYFUNCTION("""COMPUTED_VALUE"""),2.119308E7)</f>
        <v>21193080</v>
      </c>
    </row>
    <row r="96">
      <c r="A96" s="3">
        <f>IFERROR(__xludf.DUMMYFUNCTION("""COMPUTED_VALUE"""),45064.66666666667)</f>
        <v>45064.66667</v>
      </c>
      <c r="B96" s="2">
        <f>IFERROR(__xludf.DUMMYFUNCTION("""COMPUTED_VALUE"""),241.3)</f>
        <v>241.3</v>
      </c>
      <c r="C96" s="2">
        <f>IFERROR(__xludf.DUMMYFUNCTION("""COMPUTED_VALUE"""),247.09)</f>
        <v>247.09</v>
      </c>
      <c r="D96" s="2">
        <f>IFERROR(__xludf.DUMMYFUNCTION("""COMPUTED_VALUE"""),241.19)</f>
        <v>241.19</v>
      </c>
      <c r="E96" s="2">
        <f>IFERROR(__xludf.DUMMYFUNCTION("""COMPUTED_VALUE"""),246.85)</f>
        <v>246.85</v>
      </c>
      <c r="F96" s="2">
        <f>IFERROR(__xludf.DUMMYFUNCTION("""COMPUTED_VALUE"""),2.2943297E7)</f>
        <v>22943297</v>
      </c>
    </row>
    <row r="97">
      <c r="A97" s="3">
        <f>IFERROR(__xludf.DUMMYFUNCTION("""COMPUTED_VALUE"""),45065.66666666667)</f>
        <v>45065.66667</v>
      </c>
      <c r="B97" s="2">
        <f>IFERROR(__xludf.DUMMYFUNCTION("""COMPUTED_VALUE"""),247.47)</f>
        <v>247.47</v>
      </c>
      <c r="C97" s="2">
        <f>IFERROR(__xludf.DUMMYFUNCTION("""COMPUTED_VALUE"""),248.69)</f>
        <v>248.69</v>
      </c>
      <c r="D97" s="2">
        <f>IFERROR(__xludf.DUMMYFUNCTION("""COMPUTED_VALUE"""),243.41)</f>
        <v>243.41</v>
      </c>
      <c r="E97" s="2">
        <f>IFERROR(__xludf.DUMMYFUNCTION("""COMPUTED_VALUE"""),245.64)</f>
        <v>245.64</v>
      </c>
      <c r="F97" s="2">
        <f>IFERROR(__xludf.DUMMYFUNCTION("""COMPUTED_VALUE"""),2.1733581E7)</f>
        <v>21733581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IFERROR(__xludf.DUMMYFUNCTION("""COMPUTED_VALUE"""),245.41)</f>
        <v>245.41</v>
      </c>
      <c r="C98" s="2">
        <f>IFERROR(__xludf.DUMMYFUNCTION("""COMPUTED_VALUE"""),253.57)</f>
        <v>253.57</v>
      </c>
      <c r="D98" s="2">
        <f>IFERROR(__xludf.DUMMYFUNCTION("""COMPUTED_VALUE"""),245.12)</f>
        <v>245.12</v>
      </c>
      <c r="E98" s="2">
        <f>IFERROR(__xludf.DUMMYFUNCTION("""COMPUTED_VALUE"""),248.32)</f>
        <v>248.32</v>
      </c>
      <c r="F98" s="2">
        <f>IFERROR(__xludf.DUMMYFUNCTION("""COMPUTED_VALUE"""),2.7738479E7)</f>
        <v>27738479</v>
      </c>
    </row>
    <row r="99">
      <c r="A99" s="3">
        <f>IFERROR(__xludf.DUMMYFUNCTION("""COMPUTED_VALUE"""),45069.66666666667)</f>
        <v>45069.66667</v>
      </c>
      <c r="B99" s="2">
        <f>IFERROR(__xludf.DUMMYFUNCTION("""COMPUTED_VALUE"""),246.81)</f>
        <v>246.81</v>
      </c>
      <c r="C99" s="2">
        <f>IFERROR(__xludf.DUMMYFUNCTION("""COMPUTED_VALUE"""),251.61)</f>
        <v>251.61</v>
      </c>
      <c r="D99" s="2">
        <f>IFERROR(__xludf.DUMMYFUNCTION("""COMPUTED_VALUE"""),246.65)</f>
        <v>246.65</v>
      </c>
      <c r="E99" s="2">
        <f>IFERROR(__xludf.DUMMYFUNCTION("""COMPUTED_VALUE"""),246.74)</f>
        <v>246.74</v>
      </c>
      <c r="F99" s="2">
        <f>IFERROR(__xludf.DUMMYFUNCTION("""COMPUTED_VALUE"""),1.7748115E7)</f>
        <v>17748115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IFERROR(__xludf.DUMMYFUNCTION("""COMPUTED_VALUE"""),245.28)</f>
        <v>245.28</v>
      </c>
      <c r="C100" s="2">
        <f>IFERROR(__xludf.DUMMYFUNCTION("""COMPUTED_VALUE"""),249.59)</f>
        <v>249.59</v>
      </c>
      <c r="D100" s="2">
        <f>IFERROR(__xludf.DUMMYFUNCTION("""COMPUTED_VALUE"""),244.95)</f>
        <v>244.95</v>
      </c>
      <c r="E100" s="2">
        <f>IFERROR(__xludf.DUMMYFUNCTION("""COMPUTED_VALUE"""),249.21)</f>
        <v>249.21</v>
      </c>
      <c r="F100" s="2">
        <f>IFERROR(__xludf.DUMMYFUNCTION("""COMPUTED_VALUE"""),1.7724338E7)</f>
        <v>17724338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IFERROR(__xludf.DUMMYFUNCTION("""COMPUTED_VALUE"""),253.4)</f>
        <v>253.4</v>
      </c>
      <c r="C101" s="2">
        <f>IFERROR(__xludf.DUMMYFUNCTION("""COMPUTED_VALUE"""),255.62)</f>
        <v>255.62</v>
      </c>
      <c r="D101" s="2">
        <f>IFERROR(__xludf.DUMMYFUNCTION("""COMPUTED_VALUE"""),249.17)</f>
        <v>249.17</v>
      </c>
      <c r="E101" s="2">
        <f>IFERROR(__xludf.DUMMYFUNCTION("""COMPUTED_VALUE"""),252.69)</f>
        <v>252.69</v>
      </c>
      <c r="F101" s="2">
        <f>IFERROR(__xludf.DUMMYFUNCTION("""COMPUTED_VALUE"""),2.2371435E7)</f>
        <v>22371435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IFERROR(__xludf.DUMMYFUNCTION("""COMPUTED_VALUE"""),252.93)</f>
        <v>252.93</v>
      </c>
      <c r="C102" s="2">
        <f>IFERROR(__xludf.DUMMYFUNCTION("""COMPUTED_VALUE"""),262.31)</f>
        <v>262.31</v>
      </c>
      <c r="D102" s="2">
        <f>IFERROR(__xludf.DUMMYFUNCTION("""COMPUTED_VALUE"""),252.71)</f>
        <v>252.71</v>
      </c>
      <c r="E102" s="2">
        <f>IFERROR(__xludf.DUMMYFUNCTION("""COMPUTED_VALUE"""),262.04)</f>
        <v>262.04</v>
      </c>
      <c r="F102" s="2">
        <f>IFERROR(__xludf.DUMMYFUNCTION("""COMPUTED_VALUE"""),2.5768663E7)</f>
        <v>25768663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IFERROR(__xludf.DUMMYFUNCTION("""COMPUTED_VALUE"""),265.25)</f>
        <v>265.25</v>
      </c>
      <c r="C103" s="2">
        <f>IFERROR(__xludf.DUMMYFUNCTION("""COMPUTED_VALUE"""),268.65)</f>
        <v>268.65</v>
      </c>
      <c r="D103" s="2">
        <f>IFERROR(__xludf.DUMMYFUNCTION("""COMPUTED_VALUE"""),261.29)</f>
        <v>261.29</v>
      </c>
      <c r="E103" s="2">
        <f>IFERROR(__xludf.DUMMYFUNCTION("""COMPUTED_VALUE"""),262.52)</f>
        <v>262.52</v>
      </c>
      <c r="F103" s="2">
        <f>IFERROR(__xludf.DUMMYFUNCTION("""COMPUTED_VALUE"""),2.3816483E7)</f>
        <v>23816483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IFERROR(__xludf.DUMMYFUNCTION("""COMPUTED_VALUE"""),260.0)</f>
        <v>260</v>
      </c>
      <c r="C104" s="2">
        <f>IFERROR(__xludf.DUMMYFUNCTION("""COMPUTED_VALUE"""),265.0)</f>
        <v>265</v>
      </c>
      <c r="D104" s="2">
        <f>IFERROR(__xludf.DUMMYFUNCTION("""COMPUTED_VALUE"""),258.45)</f>
        <v>258.45</v>
      </c>
      <c r="E104" s="2">
        <f>IFERROR(__xludf.DUMMYFUNCTION("""COMPUTED_VALUE"""),264.72)</f>
        <v>264.72</v>
      </c>
      <c r="F104" s="2">
        <f>IFERROR(__xludf.DUMMYFUNCTION("""COMPUTED_VALUE"""),2.547369E7)</f>
        <v>25473690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IFERROR(__xludf.DUMMYFUNCTION("""COMPUTED_VALUE"""),265.9)</f>
        <v>265.9</v>
      </c>
      <c r="C105" s="2">
        <f>IFERROR(__xludf.DUMMYFUNCTION("""COMPUTED_VALUE"""),274.0)</f>
        <v>274</v>
      </c>
      <c r="D105" s="2">
        <f>IFERROR(__xludf.DUMMYFUNCTION("""COMPUTED_VALUE"""),265.89)</f>
        <v>265.89</v>
      </c>
      <c r="E105" s="2">
        <f>IFERROR(__xludf.DUMMYFUNCTION("""COMPUTED_VALUE"""),272.61)</f>
        <v>272.61</v>
      </c>
      <c r="F105" s="2">
        <f>IFERROR(__xludf.DUMMYFUNCTION("""COMPUTED_VALUE"""),2.5609508E7)</f>
        <v>25609508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IFERROR(__xludf.DUMMYFUNCTION("""COMPUTED_VALUE"""),272.66)</f>
        <v>272.66</v>
      </c>
      <c r="C106" s="2">
        <f>IFERROR(__xludf.DUMMYFUNCTION("""COMPUTED_VALUE"""),275.35)</f>
        <v>275.35</v>
      </c>
      <c r="D106" s="2">
        <f>IFERROR(__xludf.DUMMYFUNCTION("""COMPUTED_VALUE"""),271.12)</f>
        <v>271.12</v>
      </c>
      <c r="E106" s="2">
        <f>IFERROR(__xludf.DUMMYFUNCTION("""COMPUTED_VALUE"""),272.61)</f>
        <v>272.61</v>
      </c>
      <c r="F106" s="2">
        <f>IFERROR(__xludf.DUMMYFUNCTION("""COMPUTED_VALUE"""),1.941693E7)</f>
        <v>19416930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IFERROR(__xludf.DUMMYFUNCTION("""COMPUTED_VALUE"""),270.3)</f>
        <v>270.3</v>
      </c>
      <c r="C107" s="2">
        <f>IFERROR(__xludf.DUMMYFUNCTION("""COMPUTED_VALUE"""),275.57)</f>
        <v>275.57</v>
      </c>
      <c r="D107" s="2">
        <f>IFERROR(__xludf.DUMMYFUNCTION("""COMPUTED_VALUE"""),269.56)</f>
        <v>269.56</v>
      </c>
      <c r="E107" s="2">
        <f>IFERROR(__xludf.DUMMYFUNCTION("""COMPUTED_VALUE"""),271.39)</f>
        <v>271.39</v>
      </c>
      <c r="F107" s="2">
        <f>IFERROR(__xludf.DUMMYFUNCTION("""COMPUTED_VALUE"""),2.0742946E7)</f>
        <v>20742946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IFERROR(__xludf.DUMMYFUNCTION("""COMPUTED_VALUE"""),270.14)</f>
        <v>270.14</v>
      </c>
      <c r="C108" s="2">
        <f>IFERROR(__xludf.DUMMYFUNCTION("""COMPUTED_VALUE"""),276.57)</f>
        <v>276.57</v>
      </c>
      <c r="D108" s="2">
        <f>IFERROR(__xludf.DUMMYFUNCTION("""COMPUTED_VALUE"""),269.69)</f>
        <v>269.69</v>
      </c>
      <c r="E108" s="2">
        <f>IFERROR(__xludf.DUMMYFUNCTION("""COMPUTED_VALUE"""),271.12)</f>
        <v>271.12</v>
      </c>
      <c r="F108" s="2">
        <f>IFERROR(__xludf.DUMMYFUNCTION("""COMPUTED_VALUE"""),1.941901E7)</f>
        <v>19419010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IFERROR(__xludf.DUMMYFUNCTION("""COMPUTED_VALUE"""),271.67)</f>
        <v>271.67</v>
      </c>
      <c r="C109" s="2">
        <f>IFERROR(__xludf.DUMMYFUNCTION("""COMPUTED_VALUE"""),274.25)</f>
        <v>274.25</v>
      </c>
      <c r="D109" s="2">
        <f>IFERROR(__xludf.DUMMYFUNCTION("""COMPUTED_VALUE"""),262.8)</f>
        <v>262.8</v>
      </c>
      <c r="E109" s="2">
        <f>IFERROR(__xludf.DUMMYFUNCTION("""COMPUTED_VALUE"""),263.6)</f>
        <v>263.6</v>
      </c>
      <c r="F109" s="2">
        <f>IFERROR(__xludf.DUMMYFUNCTION("""COMPUTED_VALUE"""),2.6163627E7)</f>
        <v>26163627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IFERROR(__xludf.DUMMYFUNCTION("""COMPUTED_VALUE"""),260.62)</f>
        <v>260.62</v>
      </c>
      <c r="C110" s="2">
        <f>IFERROR(__xludf.DUMMYFUNCTION("""COMPUTED_VALUE"""),267.65)</f>
        <v>267.65</v>
      </c>
      <c r="D110" s="2">
        <f>IFERROR(__xludf.DUMMYFUNCTION("""COMPUTED_VALUE"""),258.88)</f>
        <v>258.88</v>
      </c>
      <c r="E110" s="2">
        <f>IFERROR(__xludf.DUMMYFUNCTION("""COMPUTED_VALUE"""),264.58)</f>
        <v>264.58</v>
      </c>
      <c r="F110" s="2">
        <f>IFERROR(__xludf.DUMMYFUNCTION("""COMPUTED_VALUE"""),2.0899359E7)</f>
        <v>20899359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IFERROR(__xludf.DUMMYFUNCTION("""COMPUTED_VALUE"""),262.48)</f>
        <v>262.48</v>
      </c>
      <c r="C111" s="2">
        <f>IFERROR(__xludf.DUMMYFUNCTION("""COMPUTED_VALUE"""),267.95)</f>
        <v>267.95</v>
      </c>
      <c r="D111" s="2">
        <f>IFERROR(__xludf.DUMMYFUNCTION("""COMPUTED_VALUE"""),261.7)</f>
        <v>261.7</v>
      </c>
      <c r="E111" s="2">
        <f>IFERROR(__xludf.DUMMYFUNCTION("""COMPUTED_VALUE"""),264.95)</f>
        <v>264.95</v>
      </c>
      <c r="F111" s="2">
        <f>IFERROR(__xludf.DUMMYFUNCTION("""COMPUTED_VALUE"""),1.6949794E7)</f>
        <v>16949794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IFERROR(__xludf.DUMMYFUNCTION("""COMPUTED_VALUE"""),267.17)</f>
        <v>267.17</v>
      </c>
      <c r="C112" s="2">
        <f>IFERROR(__xludf.DUMMYFUNCTION("""COMPUTED_VALUE"""),271.75)</f>
        <v>271.75</v>
      </c>
      <c r="D112" s="2">
        <f>IFERROR(__xludf.DUMMYFUNCTION("""COMPUTED_VALUE"""),265.33)</f>
        <v>265.33</v>
      </c>
      <c r="E112" s="2">
        <f>IFERROR(__xludf.DUMMYFUNCTION("""COMPUTED_VALUE"""),271.05)</f>
        <v>271.05</v>
      </c>
      <c r="F112" s="2">
        <f>IFERROR(__xludf.DUMMYFUNCTION("""COMPUTED_VALUE"""),1.5471702E7)</f>
        <v>15471702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IFERROR(__xludf.DUMMYFUNCTION("""COMPUTED_VALUE"""),274.88)</f>
        <v>274.88</v>
      </c>
      <c r="C113" s="2">
        <f>IFERROR(__xludf.DUMMYFUNCTION("""COMPUTED_VALUE"""),275.72)</f>
        <v>275.72</v>
      </c>
      <c r="D113" s="2">
        <f>IFERROR(__xludf.DUMMYFUNCTION("""COMPUTED_VALUE"""),269.09)</f>
        <v>269.09</v>
      </c>
      <c r="E113" s="2">
        <f>IFERROR(__xludf.DUMMYFUNCTION("""COMPUTED_VALUE"""),271.32)</f>
        <v>271.32</v>
      </c>
      <c r="F113" s="2">
        <f>IFERROR(__xludf.DUMMYFUNCTION("""COMPUTED_VALUE"""),1.6164024E7)</f>
        <v>16164024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IFERROR(__xludf.DUMMYFUNCTION("""COMPUTED_VALUE"""),271.89)</f>
        <v>271.89</v>
      </c>
      <c r="C114" s="2">
        <f>IFERROR(__xludf.DUMMYFUNCTION("""COMPUTED_VALUE"""),274.99)</f>
        <v>274.99</v>
      </c>
      <c r="D114" s="2">
        <f>IFERROR(__xludf.DUMMYFUNCTION("""COMPUTED_VALUE"""),268.32)</f>
        <v>268.32</v>
      </c>
      <c r="E114" s="2">
        <f>IFERROR(__xludf.DUMMYFUNCTION("""COMPUTED_VALUE"""),273.35)</f>
        <v>273.35</v>
      </c>
      <c r="F114" s="2">
        <f>IFERROR(__xludf.DUMMYFUNCTION("""COMPUTED_VALUE"""),1.9175066E7)</f>
        <v>19175066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IFERROR(__xludf.DUMMYFUNCTION("""COMPUTED_VALUE"""),272.3)</f>
        <v>272.3</v>
      </c>
      <c r="C115" s="2">
        <f>IFERROR(__xludf.DUMMYFUNCTION("""COMPUTED_VALUE"""),283.99)</f>
        <v>283.99</v>
      </c>
      <c r="D115" s="2">
        <f>IFERROR(__xludf.DUMMYFUNCTION("""COMPUTED_VALUE"""),271.42)</f>
        <v>271.42</v>
      </c>
      <c r="E115" s="2">
        <f>IFERROR(__xludf.DUMMYFUNCTION("""COMPUTED_VALUE"""),281.83)</f>
        <v>281.83</v>
      </c>
      <c r="F115" s="2">
        <f>IFERROR(__xludf.DUMMYFUNCTION("""COMPUTED_VALUE"""),2.5973455E7)</f>
        <v>25973455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IFERROR(__xludf.DUMMYFUNCTION("""COMPUTED_VALUE"""),284.75)</f>
        <v>284.75</v>
      </c>
      <c r="C116" s="2">
        <f>IFERROR(__xludf.DUMMYFUNCTION("""COMPUTED_VALUE"""),287.85)</f>
        <v>287.85</v>
      </c>
      <c r="D116" s="2">
        <f>IFERROR(__xludf.DUMMYFUNCTION("""COMPUTED_VALUE"""),280.13)</f>
        <v>280.13</v>
      </c>
      <c r="E116" s="2">
        <f>IFERROR(__xludf.DUMMYFUNCTION("""COMPUTED_VALUE"""),281.0)</f>
        <v>281</v>
      </c>
      <c r="F116" s="2">
        <f>IFERROR(__xludf.DUMMYFUNCTION("""COMPUTED_VALUE"""),4.3127731E7)</f>
        <v>43127731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IFERROR(__xludf.DUMMYFUNCTION("""COMPUTED_VALUE"""),278.73)</f>
        <v>278.73</v>
      </c>
      <c r="C117" s="2">
        <f>IFERROR(__xludf.DUMMYFUNCTION("""COMPUTED_VALUE"""),284.8)</f>
        <v>284.8</v>
      </c>
      <c r="D117" s="2">
        <f>IFERROR(__xludf.DUMMYFUNCTION("""COMPUTED_VALUE"""),276.22)</f>
        <v>276.22</v>
      </c>
      <c r="E117" s="2">
        <f>IFERROR(__xludf.DUMMYFUNCTION("""COMPUTED_VALUE"""),284.33)</f>
        <v>284.33</v>
      </c>
      <c r="F117" s="2">
        <f>IFERROR(__xludf.DUMMYFUNCTION("""COMPUTED_VALUE"""),2.0701589E7)</f>
        <v>20701589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IFERROR(__xludf.DUMMYFUNCTION("""COMPUTED_VALUE"""),283.53)</f>
        <v>283.53</v>
      </c>
      <c r="C118" s="2">
        <f>IFERROR(__xludf.DUMMYFUNCTION("""COMPUTED_VALUE"""),284.0)</f>
        <v>284</v>
      </c>
      <c r="D118" s="2">
        <f>IFERROR(__xludf.DUMMYFUNCTION("""COMPUTED_VALUE"""),278.36)</f>
        <v>278.36</v>
      </c>
      <c r="E118" s="2">
        <f>IFERROR(__xludf.DUMMYFUNCTION("""COMPUTED_VALUE"""),281.64)</f>
        <v>281.64</v>
      </c>
      <c r="F118" s="2">
        <f>IFERROR(__xludf.DUMMYFUNCTION("""COMPUTED_VALUE"""),2.055617E7)</f>
        <v>20556170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IFERROR(__xludf.DUMMYFUNCTION("""COMPUTED_VALUE"""),279.08)</f>
        <v>279.08</v>
      </c>
      <c r="C119" s="2">
        <f>IFERROR(__xludf.DUMMYFUNCTION("""COMPUTED_VALUE"""),285.26)</f>
        <v>285.26</v>
      </c>
      <c r="D119" s="2">
        <f>IFERROR(__xludf.DUMMYFUNCTION("""COMPUTED_VALUE"""),277.79)</f>
        <v>277.79</v>
      </c>
      <c r="E119" s="2">
        <f>IFERROR(__xludf.DUMMYFUNCTION("""COMPUTED_VALUE"""),284.88)</f>
        <v>284.88</v>
      </c>
      <c r="F119" s="2">
        <f>IFERROR(__xludf.DUMMYFUNCTION("""COMPUTED_VALUE"""),1.7563061E7)</f>
        <v>17563061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IFERROR(__xludf.DUMMYFUNCTION("""COMPUTED_VALUE"""),281.51)</f>
        <v>281.51</v>
      </c>
      <c r="C120" s="2">
        <f>IFERROR(__xludf.DUMMYFUNCTION("""COMPUTED_VALUE"""),289.67)</f>
        <v>289.67</v>
      </c>
      <c r="D120" s="2">
        <f>IFERROR(__xludf.DUMMYFUNCTION("""COMPUTED_VALUE"""),278.95)</f>
        <v>278.95</v>
      </c>
      <c r="E120" s="2">
        <f>IFERROR(__xludf.DUMMYFUNCTION("""COMPUTED_VALUE"""),288.73)</f>
        <v>288.73</v>
      </c>
      <c r="F120" s="2">
        <f>IFERROR(__xludf.DUMMYFUNCTION("""COMPUTED_VALUE"""),5.1092038E7)</f>
        <v>51092038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IFERROR(__xludf.DUMMYFUNCTION("""COMPUTED_VALUE"""),288.7)</f>
        <v>288.7</v>
      </c>
      <c r="C121" s="2">
        <f>IFERROR(__xludf.DUMMYFUNCTION("""COMPUTED_VALUE"""),289.79)</f>
        <v>289.79</v>
      </c>
      <c r="D121" s="2">
        <f>IFERROR(__xludf.DUMMYFUNCTION("""COMPUTED_VALUE"""),277.6)</f>
        <v>277.6</v>
      </c>
      <c r="E121" s="2">
        <f>IFERROR(__xludf.DUMMYFUNCTION("""COMPUTED_VALUE"""),278.47)</f>
        <v>278.47</v>
      </c>
      <c r="F121" s="2">
        <f>IFERROR(__xludf.DUMMYFUNCTION("""COMPUTED_VALUE"""),2.4232651E7)</f>
        <v>24232651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IFERROR(__xludf.DUMMYFUNCTION("""COMPUTED_VALUE"""),282.01)</f>
        <v>282.01</v>
      </c>
      <c r="C122" s="2">
        <f>IFERROR(__xludf.DUMMYFUNCTION("""COMPUTED_VALUE"""),289.35)</f>
        <v>289.35</v>
      </c>
      <c r="D122" s="2">
        <f>IFERROR(__xludf.DUMMYFUNCTION("""COMPUTED_VALUE"""),280.65)</f>
        <v>280.65</v>
      </c>
      <c r="E122" s="2">
        <f>IFERROR(__xludf.DUMMYFUNCTION("""COMPUTED_VALUE"""),287.05)</f>
        <v>287.05</v>
      </c>
      <c r="F122" s="2">
        <f>IFERROR(__xludf.DUMMYFUNCTION("""COMPUTED_VALUE"""),2.610826E7)</f>
        <v>26108260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IFERROR(__xludf.DUMMYFUNCTION("""COMPUTED_VALUE"""),284.82)</f>
        <v>284.82</v>
      </c>
      <c r="C123" s="2">
        <f>IFERROR(__xludf.DUMMYFUNCTION("""COMPUTED_VALUE"""),289.55)</f>
        <v>289.55</v>
      </c>
      <c r="D123" s="2">
        <f>IFERROR(__xludf.DUMMYFUNCTION("""COMPUTED_VALUE"""),284.06)</f>
        <v>284.06</v>
      </c>
      <c r="E123" s="2">
        <f>IFERROR(__xludf.DUMMYFUNCTION("""COMPUTED_VALUE"""),285.29)</f>
        <v>285.29</v>
      </c>
      <c r="F123" s="2">
        <f>IFERROR(__xludf.DUMMYFUNCTION("""COMPUTED_VALUE"""),1.6722117E7)</f>
        <v>16722117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IFERROR(__xludf.DUMMYFUNCTION("""COMPUTED_VALUE"""),284.5)</f>
        <v>284.5</v>
      </c>
      <c r="C124" s="2">
        <f>IFERROR(__xludf.DUMMYFUNCTION("""COMPUTED_VALUE"""),286.57)</f>
        <v>286.57</v>
      </c>
      <c r="D124" s="2">
        <f>IFERROR(__xludf.DUMMYFUNCTION("""COMPUTED_VALUE"""),280.69)</f>
        <v>280.69</v>
      </c>
      <c r="E124" s="2">
        <f>IFERROR(__xludf.DUMMYFUNCTION("""COMPUTED_VALUE"""),281.53)</f>
        <v>281.53</v>
      </c>
      <c r="F124" s="2">
        <f>IFERROR(__xludf.DUMMYFUNCTION("""COMPUTED_VALUE"""),1.539569E7)</f>
        <v>15395690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IFERROR(__xludf.DUMMYFUNCTION("""COMPUTED_VALUE"""),284.76)</f>
        <v>284.76</v>
      </c>
      <c r="C125" s="2">
        <f>IFERROR(__xludf.DUMMYFUNCTION("""COMPUTED_VALUE"""),289.05)</f>
        <v>289.05</v>
      </c>
      <c r="D125" s="2">
        <f>IFERROR(__xludf.DUMMYFUNCTION("""COMPUTED_VALUE"""),284.42)</f>
        <v>284.42</v>
      </c>
      <c r="E125" s="2">
        <f>IFERROR(__xludf.DUMMYFUNCTION("""COMPUTED_VALUE"""),286.98)</f>
        <v>286.98</v>
      </c>
      <c r="F125" s="2">
        <f>IFERROR(__xludf.DUMMYFUNCTION("""COMPUTED_VALUE"""),1.9694872E7)</f>
        <v>19694872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IFERROR(__xludf.DUMMYFUNCTION("""COMPUTED_VALUE"""),286.7)</f>
        <v>286.7</v>
      </c>
      <c r="C126" s="2">
        <f>IFERROR(__xludf.DUMMYFUNCTION("""COMPUTED_VALUE"""),289.4)</f>
        <v>289.4</v>
      </c>
      <c r="D126" s="2">
        <f>IFERROR(__xludf.DUMMYFUNCTION("""COMPUTED_VALUE"""),284.85)</f>
        <v>284.85</v>
      </c>
      <c r="E126" s="2">
        <f>IFERROR(__xludf.DUMMYFUNCTION("""COMPUTED_VALUE"""),286.02)</f>
        <v>286.02</v>
      </c>
      <c r="F126" s="2">
        <f>IFERROR(__xludf.DUMMYFUNCTION("""COMPUTED_VALUE"""),8629269.0)</f>
        <v>8629269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IFERROR(__xludf.DUMMYFUNCTION("""COMPUTED_VALUE"""),287.65)</f>
        <v>287.65</v>
      </c>
      <c r="C127" s="2">
        <f>IFERROR(__xludf.DUMMYFUNCTION("""COMPUTED_VALUE"""),298.12)</f>
        <v>298.12</v>
      </c>
      <c r="D127" s="2">
        <f>IFERROR(__xludf.DUMMYFUNCTION("""COMPUTED_VALUE"""),286.36)</f>
        <v>286.36</v>
      </c>
      <c r="E127" s="2">
        <f>IFERROR(__xludf.DUMMYFUNCTION("""COMPUTED_VALUE"""),294.37)</f>
        <v>294.37</v>
      </c>
      <c r="F127" s="2">
        <f>IFERROR(__xludf.DUMMYFUNCTION("""COMPUTED_VALUE"""),3.3865457E7)</f>
        <v>33865457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IFERROR(__xludf.DUMMYFUNCTION("""COMPUTED_VALUE"""),295.89)</f>
        <v>295.89</v>
      </c>
      <c r="C128" s="2">
        <f>IFERROR(__xludf.DUMMYFUNCTION("""COMPUTED_VALUE"""),298.12)</f>
        <v>298.12</v>
      </c>
      <c r="D128" s="2">
        <f>IFERROR(__xludf.DUMMYFUNCTION("""COMPUTED_VALUE"""),291.31)</f>
        <v>291.31</v>
      </c>
      <c r="E128" s="2">
        <f>IFERROR(__xludf.DUMMYFUNCTION("""COMPUTED_VALUE"""),291.99)</f>
        <v>291.99</v>
      </c>
      <c r="F128" s="2">
        <f>IFERROR(__xludf.DUMMYFUNCTION("""COMPUTED_VALUE"""),4.7733829E7)</f>
        <v>47733829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IFERROR(__xludf.DUMMYFUNCTION("""COMPUTED_VALUE"""),292.18)</f>
        <v>292.18</v>
      </c>
      <c r="C129" s="2">
        <f>IFERROR(__xludf.DUMMYFUNCTION("""COMPUTED_VALUE"""),296.2)</f>
        <v>296.2</v>
      </c>
      <c r="D129" s="2">
        <f>IFERROR(__xludf.DUMMYFUNCTION("""COMPUTED_VALUE"""),288.66)</f>
        <v>288.66</v>
      </c>
      <c r="E129" s="2">
        <f>IFERROR(__xludf.DUMMYFUNCTION("""COMPUTED_VALUE"""),290.53)</f>
        <v>290.53</v>
      </c>
      <c r="F129" s="2">
        <f>IFERROR(__xludf.DUMMYFUNCTION("""COMPUTED_VALUE"""),2.5585975E7)</f>
        <v>25585975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IFERROR(__xludf.DUMMYFUNCTION("""COMPUTED_VALUE"""),295.55)</f>
        <v>295.55</v>
      </c>
      <c r="C130" s="2">
        <f>IFERROR(__xludf.DUMMYFUNCTION("""COMPUTED_VALUE"""),298.13)</f>
        <v>298.13</v>
      </c>
      <c r="D130" s="2">
        <f>IFERROR(__xludf.DUMMYFUNCTION("""COMPUTED_VALUE"""),287.05)</f>
        <v>287.05</v>
      </c>
      <c r="E130" s="2">
        <f>IFERROR(__xludf.DUMMYFUNCTION("""COMPUTED_VALUE"""),294.1)</f>
        <v>294.1</v>
      </c>
      <c r="F130" s="2">
        <f>IFERROR(__xludf.DUMMYFUNCTION("""COMPUTED_VALUE"""),3.7058306E7)</f>
        <v>37058306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IFERROR(__xludf.DUMMYFUNCTION("""COMPUTED_VALUE"""),293.9)</f>
        <v>293.9</v>
      </c>
      <c r="C131" s="2">
        <f>IFERROR(__xludf.DUMMYFUNCTION("""COMPUTED_VALUE"""),300.18)</f>
        <v>300.18</v>
      </c>
      <c r="D131" s="2">
        <f>IFERROR(__xludf.DUMMYFUNCTION("""COMPUTED_VALUE"""),291.9)</f>
        <v>291.9</v>
      </c>
      <c r="E131" s="2">
        <f>IFERROR(__xludf.DUMMYFUNCTION("""COMPUTED_VALUE"""),298.29)</f>
        <v>298.29</v>
      </c>
      <c r="F131" s="2">
        <f>IFERROR(__xludf.DUMMYFUNCTION("""COMPUTED_VALUE"""),2.7585918E7)</f>
        <v>27585918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IFERROR(__xludf.DUMMYFUNCTION("""COMPUTED_VALUE"""),301.75)</f>
        <v>301.75</v>
      </c>
      <c r="C132" s="2">
        <f>IFERROR(__xludf.DUMMYFUNCTION("""COMPUTED_VALUE"""),309.45)</f>
        <v>309.45</v>
      </c>
      <c r="D132" s="2">
        <f>IFERROR(__xludf.DUMMYFUNCTION("""COMPUTED_VALUE"""),300.1)</f>
        <v>300.1</v>
      </c>
      <c r="E132" s="2">
        <f>IFERROR(__xludf.DUMMYFUNCTION("""COMPUTED_VALUE"""),309.34)</f>
        <v>309.34</v>
      </c>
      <c r="F132" s="2">
        <f>IFERROR(__xludf.DUMMYFUNCTION("""COMPUTED_VALUE"""),3.6677127E7)</f>
        <v>36677127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IFERROR(__xludf.DUMMYFUNCTION("""COMPUTED_VALUE"""),313.62)</f>
        <v>313.62</v>
      </c>
      <c r="C133" s="2">
        <f>IFERROR(__xludf.DUMMYFUNCTION("""COMPUTED_VALUE"""),316.24)</f>
        <v>316.24</v>
      </c>
      <c r="D133" s="2">
        <f>IFERROR(__xludf.DUMMYFUNCTION("""COMPUTED_VALUE"""),310.29)</f>
        <v>310.29</v>
      </c>
      <c r="E133" s="2">
        <f>IFERROR(__xludf.DUMMYFUNCTION("""COMPUTED_VALUE"""),313.41)</f>
        <v>313.41</v>
      </c>
      <c r="F133" s="2">
        <f>IFERROR(__xludf.DUMMYFUNCTION("""COMPUTED_VALUE"""),3.0280972E7)</f>
        <v>30280972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IFERROR(__xludf.DUMMYFUNCTION("""COMPUTED_VALUE"""),311.79)</f>
        <v>311.79</v>
      </c>
      <c r="C134" s="2">
        <f>IFERROR(__xludf.DUMMYFUNCTION("""COMPUTED_VALUE"""),314.88)</f>
        <v>314.88</v>
      </c>
      <c r="D134" s="2">
        <f>IFERROR(__xludf.DUMMYFUNCTION("""COMPUTED_VALUE"""),307.36)</f>
        <v>307.36</v>
      </c>
      <c r="E134" s="2">
        <f>IFERROR(__xludf.DUMMYFUNCTION("""COMPUTED_VALUE"""),308.87)</f>
        <v>308.87</v>
      </c>
      <c r="F134" s="2">
        <f>IFERROR(__xludf.DUMMYFUNCTION("""COMPUTED_VALUE"""),2.3054108E7)</f>
        <v>23054108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IFERROR(__xludf.DUMMYFUNCTION("""COMPUTED_VALUE"""),307.54)</f>
        <v>307.54</v>
      </c>
      <c r="C135" s="2">
        <f>IFERROR(__xludf.DUMMYFUNCTION("""COMPUTED_VALUE"""),311.71)</f>
        <v>311.71</v>
      </c>
      <c r="D135" s="2">
        <f>IFERROR(__xludf.DUMMYFUNCTION("""COMPUTED_VALUE"""),304.71)</f>
        <v>304.71</v>
      </c>
      <c r="E135" s="2">
        <f>IFERROR(__xludf.DUMMYFUNCTION("""COMPUTED_VALUE"""),310.62)</f>
        <v>310.62</v>
      </c>
      <c r="F135" s="2">
        <f>IFERROR(__xludf.DUMMYFUNCTION("""COMPUTED_VALUE"""),2.5323126E7)</f>
        <v>25323126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IFERROR(__xludf.DUMMYFUNCTION("""COMPUTED_VALUE"""),310.88)</f>
        <v>310.88</v>
      </c>
      <c r="C136" s="2">
        <f>IFERROR(__xludf.DUMMYFUNCTION("""COMPUTED_VALUE"""),314.2)</f>
        <v>314.2</v>
      </c>
      <c r="D136" s="2">
        <f>IFERROR(__xludf.DUMMYFUNCTION("""COMPUTED_VALUE"""),307.62)</f>
        <v>307.62</v>
      </c>
      <c r="E136" s="2">
        <f>IFERROR(__xludf.DUMMYFUNCTION("""COMPUTED_VALUE"""),312.05)</f>
        <v>312.05</v>
      </c>
      <c r="F136" s="2">
        <f>IFERROR(__xludf.DUMMYFUNCTION("""COMPUTED_VALUE"""),2.076458E7)</f>
        <v>20764580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IFERROR(__xludf.DUMMYFUNCTION("""COMPUTED_VALUE"""),313.03)</f>
        <v>313.03</v>
      </c>
      <c r="C137" s="2">
        <f>IFERROR(__xludf.DUMMYFUNCTION("""COMPUTED_VALUE"""),318.68)</f>
        <v>318.68</v>
      </c>
      <c r="D137" s="2">
        <f>IFERROR(__xludf.DUMMYFUNCTION("""COMPUTED_VALUE"""),310.52)</f>
        <v>310.52</v>
      </c>
      <c r="E137" s="2">
        <f>IFERROR(__xludf.DUMMYFUNCTION("""COMPUTED_VALUE"""),316.01)</f>
        <v>316.01</v>
      </c>
      <c r="F137" s="2">
        <f>IFERROR(__xludf.DUMMYFUNCTION("""COMPUTED_VALUE"""),2.1763688E7)</f>
        <v>21763688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IFERROR(__xludf.DUMMYFUNCTION("""COMPUTED_VALUE"""),313.5)</f>
        <v>313.5</v>
      </c>
      <c r="C138" s="2">
        <f>IFERROR(__xludf.DUMMYFUNCTION("""COMPUTED_VALUE"""),315.54)</f>
        <v>315.54</v>
      </c>
      <c r="D138" s="2">
        <f>IFERROR(__xludf.DUMMYFUNCTION("""COMPUTED_VALUE"""),302.22)</f>
        <v>302.22</v>
      </c>
      <c r="E138" s="2">
        <f>IFERROR(__xludf.DUMMYFUNCTION("""COMPUTED_VALUE"""),302.52)</f>
        <v>302.52</v>
      </c>
      <c r="F138" s="2">
        <f>IFERROR(__xludf.DUMMYFUNCTION("""COMPUTED_VALUE"""),2.3836876E7)</f>
        <v>23836876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IFERROR(__xludf.DUMMYFUNCTION("""COMPUTED_VALUE"""),304.57)</f>
        <v>304.57</v>
      </c>
      <c r="C139" s="2">
        <f>IFERROR(__xludf.DUMMYFUNCTION("""COMPUTED_VALUE"""),305.46)</f>
        <v>305.46</v>
      </c>
      <c r="D139" s="2">
        <f>IFERROR(__xludf.DUMMYFUNCTION("""COMPUTED_VALUE"""),291.2)</f>
        <v>291.2</v>
      </c>
      <c r="E139" s="2">
        <f>IFERROR(__xludf.DUMMYFUNCTION("""COMPUTED_VALUE"""),294.26)</f>
        <v>294.26</v>
      </c>
      <c r="F139" s="2">
        <f>IFERROR(__xludf.DUMMYFUNCTION("""COMPUTED_VALUE"""),4.2139259E7)</f>
        <v>42139259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IFERROR(__xludf.DUMMYFUNCTION("""COMPUTED_VALUE"""),295.79)</f>
        <v>295.79</v>
      </c>
      <c r="C140" s="2">
        <f>IFERROR(__xludf.DUMMYFUNCTION("""COMPUTED_VALUE"""),297.52)</f>
        <v>297.52</v>
      </c>
      <c r="D140" s="2">
        <f>IFERROR(__xludf.DUMMYFUNCTION("""COMPUTED_VALUE"""),288.3)</f>
        <v>288.3</v>
      </c>
      <c r="E140" s="2">
        <f>IFERROR(__xludf.DUMMYFUNCTION("""COMPUTED_VALUE"""),291.61)</f>
        <v>291.61</v>
      </c>
      <c r="F140" s="2">
        <f>IFERROR(__xludf.DUMMYFUNCTION("""COMPUTED_VALUE"""),2.4949405E7)</f>
        <v>24949405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IFERROR(__xludf.DUMMYFUNCTION("""COMPUTED_VALUE"""),295.19)</f>
        <v>295.19</v>
      </c>
      <c r="C141" s="2">
        <f>IFERROR(__xludf.DUMMYFUNCTION("""COMPUTED_VALUE"""),298.3)</f>
        <v>298.3</v>
      </c>
      <c r="D141" s="2">
        <f>IFERROR(__xludf.DUMMYFUNCTION("""COMPUTED_VALUE"""),291.86)</f>
        <v>291.86</v>
      </c>
      <c r="E141" s="2">
        <f>IFERROR(__xludf.DUMMYFUNCTION("""COMPUTED_VALUE"""),294.47)</f>
        <v>294.47</v>
      </c>
      <c r="F141" s="2">
        <f>IFERROR(__xludf.DUMMYFUNCTION("""COMPUTED_VALUE"""),1.9585584E7)</f>
        <v>19585584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IFERROR(__xludf.DUMMYFUNCTION("""COMPUTED_VALUE"""),301.19)</f>
        <v>301.19</v>
      </c>
      <c r="C142" s="2">
        <f>IFERROR(__xludf.DUMMYFUNCTION("""COMPUTED_VALUE"""),301.77)</f>
        <v>301.77</v>
      </c>
      <c r="D142" s="2">
        <f>IFERROR(__xludf.DUMMYFUNCTION("""COMPUTED_VALUE"""),291.9)</f>
        <v>291.9</v>
      </c>
      <c r="E142" s="2">
        <f>IFERROR(__xludf.DUMMYFUNCTION("""COMPUTED_VALUE"""),298.57)</f>
        <v>298.57</v>
      </c>
      <c r="F142" s="2">
        <f>IFERROR(__xludf.DUMMYFUNCTION("""COMPUTED_VALUE"""),4.725693E7)</f>
        <v>47256930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IFERROR(__xludf.DUMMYFUNCTION("""COMPUTED_VALUE"""),325.12)</f>
        <v>325.12</v>
      </c>
      <c r="C143" s="2">
        <f>IFERROR(__xludf.DUMMYFUNCTION("""COMPUTED_VALUE"""),325.35)</f>
        <v>325.35</v>
      </c>
      <c r="D143" s="2">
        <f>IFERROR(__xludf.DUMMYFUNCTION("""COMPUTED_VALUE"""),309.84)</f>
        <v>309.84</v>
      </c>
      <c r="E143" s="2">
        <f>IFERROR(__xludf.DUMMYFUNCTION("""COMPUTED_VALUE"""),311.71)</f>
        <v>311.71</v>
      </c>
      <c r="F143" s="2">
        <f>IFERROR(__xludf.DUMMYFUNCTION("""COMPUTED_VALUE"""),6.4229173E7)</f>
        <v>64229173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IFERROR(__xludf.DUMMYFUNCTION("""COMPUTED_VALUE"""),316.88)</f>
        <v>316.88</v>
      </c>
      <c r="C144" s="2">
        <f>IFERROR(__xludf.DUMMYFUNCTION("""COMPUTED_VALUE"""),326.2)</f>
        <v>326.2</v>
      </c>
      <c r="D144" s="2">
        <f>IFERROR(__xludf.DUMMYFUNCTION("""COMPUTED_VALUE"""),314.25)</f>
        <v>314.25</v>
      </c>
      <c r="E144" s="2">
        <f>IFERROR(__xludf.DUMMYFUNCTION("""COMPUTED_VALUE"""),325.48)</f>
        <v>325.48</v>
      </c>
      <c r="F144" s="2">
        <f>IFERROR(__xludf.DUMMYFUNCTION("""COMPUTED_VALUE"""),3.922027E7)</f>
        <v>39220270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IFERROR(__xludf.DUMMYFUNCTION("""COMPUTED_VALUE"""),323.69)</f>
        <v>323.69</v>
      </c>
      <c r="C145" s="2">
        <f>IFERROR(__xludf.DUMMYFUNCTION("""COMPUTED_VALUE"""),325.66)</f>
        <v>325.66</v>
      </c>
      <c r="D145" s="2">
        <f>IFERROR(__xludf.DUMMYFUNCTION("""COMPUTED_VALUE"""),317.59)</f>
        <v>317.59</v>
      </c>
      <c r="E145" s="2">
        <f>IFERROR(__xludf.DUMMYFUNCTION("""COMPUTED_VALUE"""),318.6)</f>
        <v>318.6</v>
      </c>
      <c r="F145" s="2">
        <f>IFERROR(__xludf.DUMMYFUNCTION("""COMPUTED_VALUE"""),2.5799603E7)</f>
        <v>25799603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IFERROR(__xludf.DUMMYFUNCTION("""COMPUTED_VALUE"""),317.54)</f>
        <v>317.54</v>
      </c>
      <c r="C146" s="2">
        <f>IFERROR(__xludf.DUMMYFUNCTION("""COMPUTED_VALUE"""),324.14)</f>
        <v>324.14</v>
      </c>
      <c r="D146" s="2">
        <f>IFERROR(__xludf.DUMMYFUNCTION("""COMPUTED_VALUE"""),314.66)</f>
        <v>314.66</v>
      </c>
      <c r="E146" s="2">
        <f>IFERROR(__xludf.DUMMYFUNCTION("""COMPUTED_VALUE"""),322.71)</f>
        <v>322.71</v>
      </c>
      <c r="F146" s="2">
        <f>IFERROR(__xludf.DUMMYFUNCTION("""COMPUTED_VALUE"""),2.288987E7)</f>
        <v>22889870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IFERROR(__xludf.DUMMYFUNCTION("""COMPUTED_VALUE"""),318.0)</f>
        <v>318</v>
      </c>
      <c r="C147" s="2">
        <f>IFERROR(__xludf.DUMMYFUNCTION("""COMPUTED_VALUE"""),318.39)</f>
        <v>318.39</v>
      </c>
      <c r="D147" s="2">
        <f>IFERROR(__xludf.DUMMYFUNCTION("""COMPUTED_VALUE"""),310.65)</f>
        <v>310.65</v>
      </c>
      <c r="E147" s="2">
        <f>IFERROR(__xludf.DUMMYFUNCTION("""COMPUTED_VALUE"""),314.31)</f>
        <v>314.31</v>
      </c>
      <c r="F147" s="2">
        <f>IFERROR(__xludf.DUMMYFUNCTION("""COMPUTED_VALUE"""),2.0461094E7)</f>
        <v>20461094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IFERROR(__xludf.DUMMYFUNCTION("""COMPUTED_VALUE"""),309.93)</f>
        <v>309.93</v>
      </c>
      <c r="C148" s="2">
        <f>IFERROR(__xludf.DUMMYFUNCTION("""COMPUTED_VALUE"""),315.95)</f>
        <v>315.95</v>
      </c>
      <c r="D148" s="2">
        <f>IFERROR(__xludf.DUMMYFUNCTION("""COMPUTED_VALUE"""),309.93)</f>
        <v>309.93</v>
      </c>
      <c r="E148" s="2">
        <f>IFERROR(__xludf.DUMMYFUNCTION("""COMPUTED_VALUE"""),313.19)</f>
        <v>313.19</v>
      </c>
      <c r="F148" s="2">
        <f>IFERROR(__xludf.DUMMYFUNCTION("""COMPUTED_VALUE"""),1.5215422E7)</f>
        <v>15215422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IFERROR(__xludf.DUMMYFUNCTION("""COMPUTED_VALUE"""),314.96)</f>
        <v>314.96</v>
      </c>
      <c r="C149" s="2">
        <f>IFERROR(__xludf.DUMMYFUNCTION("""COMPUTED_VALUE"""),318.41)</f>
        <v>318.41</v>
      </c>
      <c r="D149" s="2">
        <f>IFERROR(__xludf.DUMMYFUNCTION("""COMPUTED_VALUE"""),310.2)</f>
        <v>310.2</v>
      </c>
      <c r="E149" s="2">
        <f>IFERROR(__xludf.DUMMYFUNCTION("""COMPUTED_VALUE"""),310.73)</f>
        <v>310.73</v>
      </c>
      <c r="F149" s="2">
        <f>IFERROR(__xludf.DUMMYFUNCTION("""COMPUTED_VALUE"""),1.7612762E7)</f>
        <v>17612762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IFERROR(__xludf.DUMMYFUNCTION("""COMPUTED_VALUE"""),313.23)</f>
        <v>313.23</v>
      </c>
      <c r="C150" s="2">
        <f>IFERROR(__xludf.DUMMYFUNCTION("""COMPUTED_VALUE"""),317.07)</f>
        <v>317.07</v>
      </c>
      <c r="D150" s="2">
        <f>IFERROR(__xludf.DUMMYFUNCTION("""COMPUTED_VALUE"""),310.46)</f>
        <v>310.46</v>
      </c>
      <c r="E150" s="2">
        <f>IFERROR(__xludf.DUMMYFUNCTION("""COMPUTED_VALUE"""),316.56)</f>
        <v>316.56</v>
      </c>
      <c r="F150" s="2">
        <f>IFERROR(__xludf.DUMMYFUNCTION("""COMPUTED_VALUE"""),1.6236504E7)</f>
        <v>16236504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IFERROR(__xludf.DUMMYFUNCTION("""COMPUTED_VALUE"""),314.4)</f>
        <v>314.4</v>
      </c>
      <c r="C151" s="2">
        <f>IFERROR(__xludf.DUMMYFUNCTION("""COMPUTED_VALUE"""),317.89)</f>
        <v>317.89</v>
      </c>
      <c r="D151" s="2">
        <f>IFERROR(__xludf.DUMMYFUNCTION("""COMPUTED_VALUE"""),310.11)</f>
        <v>310.11</v>
      </c>
      <c r="E151" s="2">
        <f>IFERROR(__xludf.DUMMYFUNCTION("""COMPUTED_VALUE"""),312.64)</f>
        <v>312.64</v>
      </c>
      <c r="F151" s="2">
        <f>IFERROR(__xludf.DUMMYFUNCTION("""COMPUTED_VALUE"""),1.5183532E7)</f>
        <v>15183532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IFERROR(__xludf.DUMMYFUNCTION("""COMPUTED_VALUE"""),312.88)</f>
        <v>312.88</v>
      </c>
      <c r="C152" s="2">
        <f>IFERROR(__xludf.DUMMYFUNCTION("""COMPUTED_VALUE"""),313.63)</f>
        <v>313.63</v>
      </c>
      <c r="D152" s="2">
        <f>IFERROR(__xludf.DUMMYFUNCTION("""COMPUTED_VALUE"""),302.85)</f>
        <v>302.85</v>
      </c>
      <c r="E152" s="2">
        <f>IFERROR(__xludf.DUMMYFUNCTION("""COMPUTED_VALUE"""),305.21)</f>
        <v>305.21</v>
      </c>
      <c r="F152" s="2">
        <f>IFERROR(__xludf.DUMMYFUNCTION("""COMPUTED_VALUE"""),1.9955783E7)</f>
        <v>19955783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IFERROR(__xludf.DUMMYFUNCTION("""COMPUTED_VALUE"""),307.94)</f>
        <v>307.94</v>
      </c>
      <c r="C153" s="2">
        <f>IFERROR(__xludf.DUMMYFUNCTION("""COMPUTED_VALUE"""),312.34)</f>
        <v>312.34</v>
      </c>
      <c r="D153" s="2">
        <f>IFERROR(__xludf.DUMMYFUNCTION("""COMPUTED_VALUE"""),303.87)</f>
        <v>303.87</v>
      </c>
      <c r="E153" s="2">
        <f>IFERROR(__xludf.DUMMYFUNCTION("""COMPUTED_VALUE"""),305.74)</f>
        <v>305.74</v>
      </c>
      <c r="F153" s="2">
        <f>IFERROR(__xludf.DUMMYFUNCTION("""COMPUTED_VALUE"""),1.4358897E7)</f>
        <v>14358897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IFERROR(__xludf.DUMMYFUNCTION("""COMPUTED_VALUE"""),302.57)</f>
        <v>302.57</v>
      </c>
      <c r="C154" s="2">
        <f>IFERROR(__xludf.DUMMYFUNCTION("""COMPUTED_VALUE"""),304.72)</f>
        <v>304.72</v>
      </c>
      <c r="D154" s="2">
        <f>IFERROR(__xludf.DUMMYFUNCTION("""COMPUTED_VALUE"""),300.36)</f>
        <v>300.36</v>
      </c>
      <c r="E154" s="2">
        <f>IFERROR(__xludf.DUMMYFUNCTION("""COMPUTED_VALUE"""),301.64)</f>
        <v>301.64</v>
      </c>
      <c r="F154" s="2">
        <f>IFERROR(__xludf.DUMMYFUNCTION("""COMPUTED_VALUE"""),1.404625E7)</f>
        <v>14046250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IFERROR(__xludf.DUMMYFUNCTION("""COMPUTED_VALUE"""),300.98)</f>
        <v>300.98</v>
      </c>
      <c r="C155" s="2">
        <f>IFERROR(__xludf.DUMMYFUNCTION("""COMPUTED_VALUE"""),306.21)</f>
        <v>306.21</v>
      </c>
      <c r="D155" s="2">
        <f>IFERROR(__xludf.DUMMYFUNCTION("""COMPUTED_VALUE"""),298.25)</f>
        <v>298.25</v>
      </c>
      <c r="E155" s="2">
        <f>IFERROR(__xludf.DUMMYFUNCTION("""COMPUTED_VALUE"""),306.19)</f>
        <v>306.19</v>
      </c>
      <c r="F155" s="2">
        <f>IFERROR(__xludf.DUMMYFUNCTION("""COMPUTED_VALUE"""),1.5641921E7)</f>
        <v>15641921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IFERROR(__xludf.DUMMYFUNCTION("""COMPUTED_VALUE"""),306.14)</f>
        <v>306.14</v>
      </c>
      <c r="C156" s="2">
        <f>IFERROR(__xludf.DUMMYFUNCTION("""COMPUTED_VALUE"""),307.23)</f>
        <v>307.23</v>
      </c>
      <c r="D156" s="2">
        <f>IFERROR(__xludf.DUMMYFUNCTION("""COMPUTED_VALUE"""),300.03)</f>
        <v>300.03</v>
      </c>
      <c r="E156" s="2">
        <f>IFERROR(__xludf.DUMMYFUNCTION("""COMPUTED_VALUE"""),301.95)</f>
        <v>301.95</v>
      </c>
      <c r="F156" s="2">
        <f>IFERROR(__xludf.DUMMYFUNCTION("""COMPUTED_VALUE"""),1.1623613E7)</f>
        <v>11623613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IFERROR(__xludf.DUMMYFUNCTION("""COMPUTED_VALUE"""),300.2)</f>
        <v>300.2</v>
      </c>
      <c r="C157" s="2">
        <f>IFERROR(__xludf.DUMMYFUNCTION("""COMPUTED_VALUE"""),301.08)</f>
        <v>301.08</v>
      </c>
      <c r="D157" s="2">
        <f>IFERROR(__xludf.DUMMYFUNCTION("""COMPUTED_VALUE"""),294.28)</f>
        <v>294.28</v>
      </c>
      <c r="E157" s="2">
        <f>IFERROR(__xludf.DUMMYFUNCTION("""COMPUTED_VALUE"""),294.29)</f>
        <v>294.29</v>
      </c>
      <c r="F157" s="2">
        <f>IFERROR(__xludf.DUMMYFUNCTION("""COMPUTED_VALUE"""),1.8547741E7)</f>
        <v>18547741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IFERROR(__xludf.DUMMYFUNCTION("""COMPUTED_VALUE"""),293.05)</f>
        <v>293.05</v>
      </c>
      <c r="C158" s="2">
        <f>IFERROR(__xludf.DUMMYFUNCTION("""COMPUTED_VALUE"""),296.05)</f>
        <v>296.05</v>
      </c>
      <c r="D158" s="2">
        <f>IFERROR(__xludf.DUMMYFUNCTION("""COMPUTED_VALUE"""),284.95)</f>
        <v>284.95</v>
      </c>
      <c r="E158" s="2">
        <f>IFERROR(__xludf.DUMMYFUNCTION("""COMPUTED_VALUE"""),285.09)</f>
        <v>285.09</v>
      </c>
      <c r="F158" s="2">
        <f>IFERROR(__xludf.DUMMYFUNCTION("""COMPUTED_VALUE"""),2.3950089E7)</f>
        <v>23950089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IFERROR(__xludf.DUMMYFUNCTION("""COMPUTED_VALUE"""),279.03)</f>
        <v>279.03</v>
      </c>
      <c r="C159" s="2">
        <f>IFERROR(__xludf.DUMMYFUNCTION("""COMPUTED_VALUE"""),285.69)</f>
        <v>285.69</v>
      </c>
      <c r="D159" s="2">
        <f>IFERROR(__xludf.DUMMYFUNCTION("""COMPUTED_VALUE"""),274.38)</f>
        <v>274.38</v>
      </c>
      <c r="E159" s="2">
        <f>IFERROR(__xludf.DUMMYFUNCTION("""COMPUTED_VALUE"""),283.25)</f>
        <v>283.25</v>
      </c>
      <c r="F159" s="2">
        <f>IFERROR(__xludf.DUMMYFUNCTION("""COMPUTED_VALUE"""),3.5347925E7)</f>
        <v>35347925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IFERROR(__xludf.DUMMYFUNCTION("""COMPUTED_VALUE"""),283.45)</f>
        <v>283.45</v>
      </c>
      <c r="C160" s="2">
        <f>IFERROR(__xludf.DUMMYFUNCTION("""COMPUTED_VALUE"""),290.5)</f>
        <v>290.5</v>
      </c>
      <c r="D160" s="2">
        <f>IFERROR(__xludf.DUMMYFUNCTION("""COMPUTED_VALUE"""),281.85)</f>
        <v>281.85</v>
      </c>
      <c r="E160" s="2">
        <f>IFERROR(__xludf.DUMMYFUNCTION("""COMPUTED_VALUE"""),289.9)</f>
        <v>289.9</v>
      </c>
      <c r="F160" s="2">
        <f>IFERROR(__xludf.DUMMYFUNCTION("""COMPUTED_VALUE"""),2.0181475E7)</f>
        <v>20181475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IFERROR(__xludf.DUMMYFUNCTION("""COMPUTED_VALUE"""),292.55)</f>
        <v>292.55</v>
      </c>
      <c r="C161" s="2">
        <f>IFERROR(__xludf.DUMMYFUNCTION("""COMPUTED_VALUE"""),292.9)</f>
        <v>292.9</v>
      </c>
      <c r="D161" s="2">
        <f>IFERROR(__xludf.DUMMYFUNCTION("""COMPUTED_VALUE"""),286.75)</f>
        <v>286.75</v>
      </c>
      <c r="E161" s="2">
        <f>IFERROR(__xludf.DUMMYFUNCTION("""COMPUTED_VALUE"""),287.6)</f>
        <v>287.6</v>
      </c>
      <c r="F161" s="2">
        <f>IFERROR(__xludf.DUMMYFUNCTION("""COMPUTED_VALUE"""),1.2999913E7)</f>
        <v>12999913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IFERROR(__xludf.DUMMYFUNCTION("""COMPUTED_VALUE"""),288.5)</f>
        <v>288.5</v>
      </c>
      <c r="C162" s="2">
        <f>IFERROR(__xludf.DUMMYFUNCTION("""COMPUTED_VALUE"""),297.4)</f>
        <v>297.4</v>
      </c>
      <c r="D162" s="2">
        <f>IFERROR(__xludf.DUMMYFUNCTION("""COMPUTED_VALUE"""),287.67)</f>
        <v>287.67</v>
      </c>
      <c r="E162" s="2">
        <f>IFERROR(__xludf.DUMMYFUNCTION("""COMPUTED_VALUE"""),294.24)</f>
        <v>294.24</v>
      </c>
      <c r="F162" s="2">
        <f>IFERROR(__xludf.DUMMYFUNCTION("""COMPUTED_VALUE"""),1.8287001E7)</f>
        <v>18287001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IFERROR(__xludf.DUMMYFUNCTION("""COMPUTED_VALUE"""),298.5)</f>
        <v>298.5</v>
      </c>
      <c r="C163" s="2">
        <f>IFERROR(__xludf.DUMMYFUNCTION("""COMPUTED_VALUE"""),299.46)</f>
        <v>299.46</v>
      </c>
      <c r="D163" s="2">
        <f>IFERROR(__xludf.DUMMYFUNCTION("""COMPUTED_VALUE"""),286.64)</f>
        <v>286.64</v>
      </c>
      <c r="E163" s="2">
        <f>IFERROR(__xludf.DUMMYFUNCTION("""COMPUTED_VALUE"""),286.75)</f>
        <v>286.75</v>
      </c>
      <c r="F163" s="2">
        <f>IFERROR(__xludf.DUMMYFUNCTION("""COMPUTED_VALUE"""),1.8360882E7)</f>
        <v>18360882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IFERROR(__xludf.DUMMYFUNCTION("""COMPUTED_VALUE"""),286.13)</f>
        <v>286.13</v>
      </c>
      <c r="C164" s="2">
        <f>IFERROR(__xludf.DUMMYFUNCTION("""COMPUTED_VALUE"""),288.39)</f>
        <v>288.39</v>
      </c>
      <c r="D164" s="2">
        <f>IFERROR(__xludf.DUMMYFUNCTION("""COMPUTED_VALUE"""),276.03)</f>
        <v>276.03</v>
      </c>
      <c r="E164" s="2">
        <f>IFERROR(__xludf.DUMMYFUNCTION("""COMPUTED_VALUE"""),285.5)</f>
        <v>285.5</v>
      </c>
      <c r="F164" s="2">
        <f>IFERROR(__xludf.DUMMYFUNCTION("""COMPUTED_VALUE"""),2.3701443E7)</f>
        <v>23701443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IFERROR(__xludf.DUMMYFUNCTION("""COMPUTED_VALUE"""),288.0)</f>
        <v>288</v>
      </c>
      <c r="C165" s="2">
        <f>IFERROR(__xludf.DUMMYFUNCTION("""COMPUTED_VALUE"""),291.45)</f>
        <v>291.45</v>
      </c>
      <c r="D165" s="2">
        <f>IFERROR(__xludf.DUMMYFUNCTION("""COMPUTED_VALUE"""),285.8)</f>
        <v>285.8</v>
      </c>
      <c r="E165" s="2">
        <f>IFERROR(__xludf.DUMMYFUNCTION("""COMPUTED_VALUE"""),290.26)</f>
        <v>290.26</v>
      </c>
      <c r="F165" s="2">
        <f>IFERROR(__xludf.DUMMYFUNCTION("""COMPUTED_VALUE"""),1.4239285E7)</f>
        <v>14239285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IFERROR(__xludf.DUMMYFUNCTION("""COMPUTED_VALUE"""),288.58)</f>
        <v>288.58</v>
      </c>
      <c r="C166" s="2">
        <f>IFERROR(__xludf.DUMMYFUNCTION("""COMPUTED_VALUE"""),299.15)</f>
        <v>299.15</v>
      </c>
      <c r="D166" s="2">
        <f>IFERROR(__xludf.DUMMYFUNCTION("""COMPUTED_VALUE"""),288.18)</f>
        <v>288.18</v>
      </c>
      <c r="E166" s="2">
        <f>IFERROR(__xludf.DUMMYFUNCTION("""COMPUTED_VALUE"""),297.99)</f>
        <v>297.99</v>
      </c>
      <c r="F166" s="2">
        <f>IFERROR(__xludf.DUMMYFUNCTION("""COMPUTED_VALUE"""),2.0844522E7)</f>
        <v>20844522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IFERROR(__xludf.DUMMYFUNCTION("""COMPUTED_VALUE"""),297.17)</f>
        <v>297.17</v>
      </c>
      <c r="C167" s="2">
        <f>IFERROR(__xludf.DUMMYFUNCTION("""COMPUTED_VALUE"""),298.29)</f>
        <v>298.29</v>
      </c>
      <c r="D167" s="2">
        <f>IFERROR(__xludf.DUMMYFUNCTION("""COMPUTED_VALUE"""),293.43)</f>
        <v>293.43</v>
      </c>
      <c r="E167" s="2">
        <f>IFERROR(__xludf.DUMMYFUNCTION("""COMPUTED_VALUE"""),295.1)</f>
        <v>295.1</v>
      </c>
      <c r="F167" s="2">
        <f>IFERROR(__xludf.DUMMYFUNCTION("""COMPUTED_VALUE"""),1.7717024E7)</f>
        <v>17717024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IFERROR(__xludf.DUMMYFUNCTION("""COMPUTED_VALUE"""),295.8)</f>
        <v>295.8</v>
      </c>
      <c r="C168" s="2">
        <f>IFERROR(__xludf.DUMMYFUNCTION("""COMPUTED_VALUE"""),301.1)</f>
        <v>301.1</v>
      </c>
      <c r="D168" s="2">
        <f>IFERROR(__xludf.DUMMYFUNCTION("""COMPUTED_VALUE"""),295.66)</f>
        <v>295.66</v>
      </c>
      <c r="E168" s="2">
        <f>IFERROR(__xludf.DUMMYFUNCTION("""COMPUTED_VALUE"""),295.89)</f>
        <v>295.89</v>
      </c>
      <c r="F168" s="2">
        <f>IFERROR(__xludf.DUMMYFUNCTION("""COMPUTED_VALUE"""),1.7229865E7)</f>
        <v>17229865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IFERROR(__xludf.DUMMYFUNCTION("""COMPUTED_VALUE"""),299.37)</f>
        <v>299.37</v>
      </c>
      <c r="C169" s="2">
        <f>IFERROR(__xludf.DUMMYFUNCTION("""COMPUTED_VALUE"""),301.74)</f>
        <v>301.74</v>
      </c>
      <c r="D169" s="2">
        <f>IFERROR(__xludf.DUMMYFUNCTION("""COMPUTED_VALUE"""),294.47)</f>
        <v>294.47</v>
      </c>
      <c r="E169" s="2">
        <f>IFERROR(__xludf.DUMMYFUNCTION("""COMPUTED_VALUE"""),296.38)</f>
        <v>296.38</v>
      </c>
      <c r="F169" s="2">
        <f>IFERROR(__xludf.DUMMYFUNCTION("""COMPUTED_VALUE"""),1.2842257E7)</f>
        <v>12842257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IFERROR(__xludf.DUMMYFUNCTION("""COMPUTED_VALUE"""),297.02)</f>
        <v>297.02</v>
      </c>
      <c r="C170" s="2">
        <f>IFERROR(__xludf.DUMMYFUNCTION("""COMPUTED_VALUE"""),301.39)</f>
        <v>301.39</v>
      </c>
      <c r="D170" s="2">
        <f>IFERROR(__xludf.DUMMYFUNCTION("""COMPUTED_VALUE"""),295.51)</f>
        <v>295.51</v>
      </c>
      <c r="E170" s="2">
        <f>IFERROR(__xludf.DUMMYFUNCTION("""COMPUTED_VALUE"""),300.15)</f>
        <v>300.15</v>
      </c>
      <c r="F170" s="2">
        <f>IFERROR(__xludf.DUMMYFUNCTION("""COMPUTED_VALUE"""),1.4955989E7)</f>
        <v>14955989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IFERROR(__xludf.DUMMYFUNCTION("""COMPUTED_VALUE"""),301.71)</f>
        <v>301.71</v>
      </c>
      <c r="C171" s="2">
        <f>IFERROR(__xludf.DUMMYFUNCTION("""COMPUTED_VALUE"""),303.3)</f>
        <v>303.3</v>
      </c>
      <c r="D171" s="2">
        <f>IFERROR(__xludf.DUMMYFUNCTION("""COMPUTED_VALUE"""),295.66)</f>
        <v>295.66</v>
      </c>
      <c r="E171" s="2">
        <f>IFERROR(__xludf.DUMMYFUNCTION("""COMPUTED_VALUE"""),299.17)</f>
        <v>299.17</v>
      </c>
      <c r="F171" s="2">
        <f>IFERROR(__xludf.DUMMYFUNCTION("""COMPUTED_VALUE"""),1.5418092E7)</f>
        <v>15418092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IFERROR(__xludf.DUMMYFUNCTION("""COMPUTED_VALUE"""),298.0)</f>
        <v>298</v>
      </c>
      <c r="C172" s="2">
        <f>IFERROR(__xludf.DUMMYFUNCTION("""COMPUTED_VALUE"""),307.05)</f>
        <v>307.05</v>
      </c>
      <c r="D172" s="2">
        <f>IFERROR(__xludf.DUMMYFUNCTION("""COMPUTED_VALUE"""),292.22)</f>
        <v>292.22</v>
      </c>
      <c r="E172" s="2">
        <f>IFERROR(__xludf.DUMMYFUNCTION("""COMPUTED_VALUE"""),298.67)</f>
        <v>298.67</v>
      </c>
      <c r="F172" s="2">
        <f>IFERROR(__xludf.DUMMYFUNCTION("""COMPUTED_VALUE"""),3.3748737E7)</f>
        <v>33748737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IFERROR(__xludf.DUMMYFUNCTION("""COMPUTED_VALUE"""),299.22)</f>
        <v>299.22</v>
      </c>
      <c r="C173" s="2">
        <f>IFERROR(__xludf.DUMMYFUNCTION("""COMPUTED_VALUE"""),305.25)</f>
        <v>305.25</v>
      </c>
      <c r="D173" s="2">
        <f>IFERROR(__xludf.DUMMYFUNCTION("""COMPUTED_VALUE"""),296.78)</f>
        <v>296.78</v>
      </c>
      <c r="E173" s="2">
        <f>IFERROR(__xludf.DUMMYFUNCTION("""COMPUTED_VALUE"""),297.89)</f>
        <v>297.89</v>
      </c>
      <c r="F173" s="2">
        <f>IFERROR(__xludf.DUMMYFUNCTION("""COMPUTED_VALUE"""),1.7572203E7)</f>
        <v>17572203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IFERROR(__xludf.DUMMYFUNCTION("""COMPUTED_VALUE"""),301.41)</f>
        <v>301.41</v>
      </c>
      <c r="C174" s="2">
        <f>IFERROR(__xludf.DUMMYFUNCTION("""COMPUTED_VALUE"""),309.04)</f>
        <v>309.04</v>
      </c>
      <c r="D174" s="2">
        <f>IFERROR(__xludf.DUMMYFUNCTION("""COMPUTED_VALUE"""),301.28)</f>
        <v>301.28</v>
      </c>
      <c r="E174" s="2">
        <f>IFERROR(__xludf.DUMMYFUNCTION("""COMPUTED_VALUE"""),307.56)</f>
        <v>307.56</v>
      </c>
      <c r="F174" s="2">
        <f>IFERROR(__xludf.DUMMYFUNCTION("""COMPUTED_VALUE"""),1.948933E7)</f>
        <v>19489330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IFERROR(__xludf.DUMMYFUNCTION("""COMPUTED_VALUE"""),306.33)</f>
        <v>306.33</v>
      </c>
      <c r="C175" s="2">
        <f>IFERROR(__xludf.DUMMYFUNCTION("""COMPUTED_VALUE"""),308.66)</f>
        <v>308.66</v>
      </c>
      <c r="D175" s="2">
        <f>IFERROR(__xludf.DUMMYFUNCTION("""COMPUTED_VALUE"""),300.23)</f>
        <v>300.23</v>
      </c>
      <c r="E175" s="2">
        <f>IFERROR(__xludf.DUMMYFUNCTION("""COMPUTED_VALUE"""),301.66)</f>
        <v>301.66</v>
      </c>
      <c r="F175" s="2">
        <f>IFERROR(__xludf.DUMMYFUNCTION("""COMPUTED_VALUE"""),1.34804E7)</f>
        <v>13480400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IFERROR(__xludf.DUMMYFUNCTION("""COMPUTED_VALUE"""),302.36)</f>
        <v>302.36</v>
      </c>
      <c r="C176" s="2">
        <f>IFERROR(__xludf.DUMMYFUNCTION("""COMPUTED_VALUE"""),307.18)</f>
        <v>307.18</v>
      </c>
      <c r="D176" s="2">
        <f>IFERROR(__xludf.DUMMYFUNCTION("""COMPUTED_VALUE"""),301.32)</f>
        <v>301.32</v>
      </c>
      <c r="E176" s="2">
        <f>IFERROR(__xludf.DUMMYFUNCTION("""COMPUTED_VALUE"""),305.06)</f>
        <v>305.06</v>
      </c>
      <c r="F176" s="2">
        <f>IFERROR(__xludf.DUMMYFUNCTION("""COMPUTED_VALUE"""),1.3210915E7)</f>
        <v>13210915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IFERROR(__xludf.DUMMYFUNCTION("""COMPUTED_VALUE"""),306.74)</f>
        <v>306.74</v>
      </c>
      <c r="C177" s="2">
        <f>IFERROR(__xludf.DUMMYFUNCTION("""COMPUTED_VALUE"""),312.87)</f>
        <v>312.87</v>
      </c>
      <c r="D177" s="2">
        <f>IFERROR(__xludf.DUMMYFUNCTION("""COMPUTED_VALUE"""),305.03)</f>
        <v>305.03</v>
      </c>
      <c r="E177" s="2">
        <f>IFERROR(__xludf.DUMMYFUNCTION("""COMPUTED_VALUE"""),311.72)</f>
        <v>311.72</v>
      </c>
      <c r="F177" s="2">
        <f>IFERROR(__xludf.DUMMYFUNCTION("""COMPUTED_VALUE"""),1.9343102E7)</f>
        <v>19343102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IFERROR(__xludf.DUMMYFUNCTION("""COMPUTED_VALUE"""),311.61)</f>
        <v>311.61</v>
      </c>
      <c r="C178" s="2">
        <f>IFERROR(__xludf.DUMMYFUNCTION("""COMPUTED_VALUE"""),312.0)</f>
        <v>312</v>
      </c>
      <c r="D178" s="2">
        <f>IFERROR(__xludf.DUMMYFUNCTION("""COMPUTED_VALUE"""),298.75)</f>
        <v>298.75</v>
      </c>
      <c r="E178" s="2">
        <f>IFERROR(__xludf.DUMMYFUNCTION("""COMPUTED_VALUE"""),300.31)</f>
        <v>300.31</v>
      </c>
      <c r="F178" s="2">
        <f>IFERROR(__xludf.DUMMYFUNCTION("""COMPUTED_VALUE"""),2.813114E7)</f>
        <v>28131140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IFERROR(__xludf.DUMMYFUNCTION("""COMPUTED_VALUE"""),298.19)</f>
        <v>298.19</v>
      </c>
      <c r="C179" s="2">
        <f>IFERROR(__xludf.DUMMYFUNCTION("""COMPUTED_VALUE"""),303.6)</f>
        <v>303.6</v>
      </c>
      <c r="D179" s="2">
        <f>IFERROR(__xludf.DUMMYFUNCTION("""COMPUTED_VALUE"""),297.8)</f>
        <v>297.8</v>
      </c>
      <c r="E179" s="2">
        <f>IFERROR(__xludf.DUMMYFUNCTION("""COMPUTED_VALUE"""),302.55)</f>
        <v>302.55</v>
      </c>
      <c r="F179" s="2">
        <f>IFERROR(__xludf.DUMMYFUNCTION("""COMPUTED_VALUE"""),1.4234158E7)</f>
        <v>14234158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IFERROR(__xludf.DUMMYFUNCTION("""COMPUTED_VALUE"""),302.48)</f>
        <v>302.48</v>
      </c>
      <c r="C180" s="2">
        <f>IFERROR(__xludf.DUMMYFUNCTION("""COMPUTED_VALUE"""),306.17)</f>
        <v>306.17</v>
      </c>
      <c r="D180" s="2">
        <f>IFERROR(__xludf.DUMMYFUNCTION("""COMPUTED_VALUE"""),299.81)</f>
        <v>299.81</v>
      </c>
      <c r="E180" s="2">
        <f>IFERROR(__xludf.DUMMYFUNCTION("""COMPUTED_VALUE"""),305.07)</f>
        <v>305.07</v>
      </c>
      <c r="F180" s="2">
        <f>IFERROR(__xludf.DUMMYFUNCTION("""COMPUTED_VALUE"""),1.5931618E7)</f>
        <v>15931618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IFERROR(__xludf.DUMMYFUNCTION("""COMPUTED_VALUE"""),305.05)</f>
        <v>305.05</v>
      </c>
      <c r="C181" s="2">
        <f>IFERROR(__xludf.DUMMYFUNCTION("""COMPUTED_VALUE"""),308.06)</f>
        <v>308.06</v>
      </c>
      <c r="D181" s="2">
        <f>IFERROR(__xludf.DUMMYFUNCTION("""COMPUTED_VALUE"""),299.43)</f>
        <v>299.43</v>
      </c>
      <c r="E181" s="2">
        <f>IFERROR(__xludf.DUMMYFUNCTION("""COMPUTED_VALUE"""),299.67)</f>
        <v>299.67</v>
      </c>
      <c r="F181" s="2">
        <f>IFERROR(__xludf.DUMMYFUNCTION("""COMPUTED_VALUE"""),1.9379515E7)</f>
        <v>19379515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IFERROR(__xludf.DUMMYFUNCTION("""COMPUTED_VALUE"""),295.7)</f>
        <v>295.7</v>
      </c>
      <c r="C182" s="2">
        <f>IFERROR(__xludf.DUMMYFUNCTION("""COMPUTED_VALUE"""),300.26)</f>
        <v>300.26</v>
      </c>
      <c r="D182" s="2">
        <f>IFERROR(__xludf.DUMMYFUNCTION("""COMPUTED_VALUE"""),293.27)</f>
        <v>293.27</v>
      </c>
      <c r="E182" s="2">
        <f>IFERROR(__xludf.DUMMYFUNCTION("""COMPUTED_VALUE"""),295.73)</f>
        <v>295.73</v>
      </c>
      <c r="F182" s="2">
        <f>IFERROR(__xludf.DUMMYFUNCTION("""COMPUTED_VALUE"""),2.1319582E7)</f>
        <v>21319582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IFERROR(__xludf.DUMMYFUNCTION("""COMPUTED_VALUE"""),299.3)</f>
        <v>299.3</v>
      </c>
      <c r="C183" s="2">
        <f>IFERROR(__xludf.DUMMYFUNCTION("""COMPUTED_VALUE"""),305.38)</f>
        <v>305.38</v>
      </c>
      <c r="D183" s="2">
        <f>IFERROR(__xludf.DUMMYFUNCTION("""COMPUTED_VALUE"""),298.27)</f>
        <v>298.27</v>
      </c>
      <c r="E183" s="2">
        <f>IFERROR(__xludf.DUMMYFUNCTION("""COMPUTED_VALUE"""),299.08)</f>
        <v>299.08</v>
      </c>
      <c r="F183" s="2">
        <f>IFERROR(__xludf.DUMMYFUNCTION("""COMPUTED_VALUE"""),2.5369592E7)</f>
        <v>25369592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IFERROR(__xludf.DUMMYFUNCTION("""COMPUTED_VALUE"""),295.64)</f>
        <v>295.64</v>
      </c>
      <c r="C184" s="2">
        <f>IFERROR(__xludf.DUMMYFUNCTION("""COMPUTED_VALUE"""),300.95)</f>
        <v>300.95</v>
      </c>
      <c r="D184" s="2">
        <f>IFERROR(__xludf.DUMMYFUNCTION("""COMPUTED_VALUE"""),293.7)</f>
        <v>293.7</v>
      </c>
      <c r="E184" s="2">
        <f>IFERROR(__xludf.DUMMYFUNCTION("""COMPUTED_VALUE"""),300.83)</f>
        <v>300.83</v>
      </c>
      <c r="F184" s="2">
        <f>IFERROR(__xludf.DUMMYFUNCTION("""COMPUTED_VALUE"""),1.8987014E7)</f>
        <v>18987014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IFERROR(__xludf.DUMMYFUNCTION("""COMPUTED_VALUE"""),297.66)</f>
        <v>297.66</v>
      </c>
      <c r="C185" s="2">
        <f>IFERROR(__xludf.DUMMYFUNCTION("""COMPUTED_VALUE"""),300.3)</f>
        <v>300.3</v>
      </c>
      <c r="D185" s="2">
        <f>IFERROR(__xludf.DUMMYFUNCTION("""COMPUTED_VALUE"""),296.01)</f>
        <v>296.01</v>
      </c>
      <c r="E185" s="2">
        <f>IFERROR(__xludf.DUMMYFUNCTION("""COMPUTED_VALUE"""),298.96)</f>
        <v>298.96</v>
      </c>
      <c r="F185" s="2">
        <f>IFERROR(__xludf.DUMMYFUNCTION("""COMPUTED_VALUE"""),1.9417161E7)</f>
        <v>19417161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IFERROR(__xludf.DUMMYFUNCTION("""COMPUTED_VALUE"""),300.45)</f>
        <v>300.45</v>
      </c>
      <c r="C186" s="2">
        <f>IFERROR(__xludf.DUMMYFUNCTION("""COMPUTED_VALUE"""),301.3)</f>
        <v>301.3</v>
      </c>
      <c r="D186" s="2">
        <f>IFERROR(__xludf.DUMMYFUNCTION("""COMPUTED_VALUE"""),286.79)</f>
        <v>286.79</v>
      </c>
      <c r="E186" s="2">
        <f>IFERROR(__xludf.DUMMYFUNCTION("""COMPUTED_VALUE"""),297.74)</f>
        <v>297.74</v>
      </c>
      <c r="F186" s="2">
        <f>IFERROR(__xludf.DUMMYFUNCTION("""COMPUTED_VALUE"""),3.6429835E7)</f>
        <v>36429835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IFERROR(__xludf.DUMMYFUNCTION("""COMPUTED_VALUE"""),298.94)</f>
        <v>298.94</v>
      </c>
      <c r="C187" s="2">
        <f>IFERROR(__xludf.DUMMYFUNCTION("""COMPUTED_VALUE"""),306.33)</f>
        <v>306.33</v>
      </c>
      <c r="D187" s="2">
        <f>IFERROR(__xludf.DUMMYFUNCTION("""COMPUTED_VALUE"""),296.7)</f>
        <v>296.7</v>
      </c>
      <c r="E187" s="2">
        <f>IFERROR(__xludf.DUMMYFUNCTION("""COMPUTED_VALUE"""),303.96)</f>
        <v>303.96</v>
      </c>
      <c r="F187" s="2">
        <f>IFERROR(__xludf.DUMMYFUNCTION("""COMPUTED_VALUE"""),2.2167075E7)</f>
        <v>22167075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IFERROR(__xludf.DUMMYFUNCTION("""COMPUTED_VALUE"""),307.38)</f>
        <v>307.38</v>
      </c>
      <c r="C188" s="2">
        <f>IFERROR(__xludf.DUMMYFUNCTION("""COMPUTED_VALUE"""),310.64)</f>
        <v>310.64</v>
      </c>
      <c r="D188" s="2">
        <f>IFERROR(__xludf.DUMMYFUNCTION("""COMPUTED_VALUE"""),299.36)</f>
        <v>299.36</v>
      </c>
      <c r="E188" s="2">
        <f>IFERROR(__xludf.DUMMYFUNCTION("""COMPUTED_VALUE"""),300.21)</f>
        <v>300.21</v>
      </c>
      <c r="F188" s="2">
        <f>IFERROR(__xludf.DUMMYFUNCTION("""COMPUTED_VALUE"""),2.5373695E7)</f>
        <v>25373695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IFERROR(__xludf.DUMMYFUNCTION("""COMPUTED_VALUE"""),302.74)</f>
        <v>302.74</v>
      </c>
      <c r="C189" s="2">
        <f>IFERROR(__xludf.DUMMYFUNCTION("""COMPUTED_VALUE"""),307.18)</f>
        <v>307.18</v>
      </c>
      <c r="D189" s="2">
        <f>IFERROR(__xludf.DUMMYFUNCTION("""COMPUTED_VALUE"""),301.63)</f>
        <v>301.63</v>
      </c>
      <c r="E189" s="2">
        <f>IFERROR(__xludf.DUMMYFUNCTION("""COMPUTED_VALUE"""),306.82)</f>
        <v>306.82</v>
      </c>
      <c r="F189" s="2">
        <f>IFERROR(__xludf.DUMMYFUNCTION("""COMPUTED_VALUE"""),1.6265571E7)</f>
        <v>16265571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IFERROR(__xludf.DUMMYFUNCTION("""COMPUTED_VALUE"""),304.26)</f>
        <v>304.26</v>
      </c>
      <c r="C190" s="2">
        <f>IFERROR(__xludf.DUMMYFUNCTION("""COMPUTED_VALUE"""),306.77)</f>
        <v>306.77</v>
      </c>
      <c r="D190" s="2">
        <f>IFERROR(__xludf.DUMMYFUNCTION("""COMPUTED_VALUE"""),299.64)</f>
        <v>299.64</v>
      </c>
      <c r="E190" s="2">
        <f>IFERROR(__xludf.DUMMYFUNCTION("""COMPUTED_VALUE"""),300.94)</f>
        <v>300.94</v>
      </c>
      <c r="F190" s="2">
        <f>IFERROR(__xludf.DUMMYFUNCTION("""COMPUTED_VALUE"""),1.736225E7)</f>
        <v>17362250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IFERROR(__xludf.DUMMYFUNCTION("""COMPUTED_VALUE"""),298.73)</f>
        <v>298.73</v>
      </c>
      <c r="C191" s="2">
        <f>IFERROR(__xludf.DUMMYFUNCTION("""COMPUTED_VALUE"""),306.9)</f>
        <v>306.9</v>
      </c>
      <c r="D191" s="2">
        <f>IFERROR(__xludf.DUMMYFUNCTION("""COMPUTED_VALUE"""),298.5)</f>
        <v>298.5</v>
      </c>
      <c r="E191" s="2">
        <f>IFERROR(__xludf.DUMMYFUNCTION("""COMPUTED_VALUE"""),305.58)</f>
        <v>305.58</v>
      </c>
      <c r="F191" s="2">
        <f>IFERROR(__xludf.DUMMYFUNCTION("""COMPUTED_VALUE"""),1.6880484E7)</f>
        <v>16880484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IFERROR(__xludf.DUMMYFUNCTION("""COMPUTED_VALUE"""),304.63)</f>
        <v>304.63</v>
      </c>
      <c r="C192" s="2">
        <f>IFERROR(__xludf.DUMMYFUNCTION("""COMPUTED_VALUE"""),306.21)</f>
        <v>306.21</v>
      </c>
      <c r="D192" s="2">
        <f>IFERROR(__xludf.DUMMYFUNCTION("""COMPUTED_VALUE"""),299.5)</f>
        <v>299.5</v>
      </c>
      <c r="E192" s="2">
        <f>IFERROR(__xludf.DUMMYFUNCTION("""COMPUTED_VALUE"""),304.79)</f>
        <v>304.79</v>
      </c>
      <c r="F192" s="2">
        <f>IFERROR(__xludf.DUMMYFUNCTION("""COMPUTED_VALUE"""),1.9129957E7)</f>
        <v>19129957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IFERROR(__xludf.DUMMYFUNCTION("""COMPUTED_VALUE"""),301.44)</f>
        <v>301.44</v>
      </c>
      <c r="C193" s="2">
        <f>IFERROR(__xludf.DUMMYFUNCTION("""COMPUTED_VALUE"""),316.31)</f>
        <v>316.31</v>
      </c>
      <c r="D193" s="2">
        <f>IFERROR(__xludf.DUMMYFUNCTION("""COMPUTED_VALUE"""),300.91)</f>
        <v>300.91</v>
      </c>
      <c r="E193" s="2">
        <f>IFERROR(__xludf.DUMMYFUNCTION("""COMPUTED_VALUE"""),315.43)</f>
        <v>315.43</v>
      </c>
      <c r="F193" s="2">
        <f>IFERROR(__xludf.DUMMYFUNCTION("""COMPUTED_VALUE"""),2.1803856E7)</f>
        <v>21803856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IFERROR(__xludf.DUMMYFUNCTION("""COMPUTED_VALUE"""),312.5)</f>
        <v>312.5</v>
      </c>
      <c r="C194" s="2">
        <f>IFERROR(__xludf.DUMMYFUNCTION("""COMPUTED_VALUE"""),320.33)</f>
        <v>320.33</v>
      </c>
      <c r="D194" s="2">
        <f>IFERROR(__xludf.DUMMYFUNCTION("""COMPUTED_VALUE"""),311.82)</f>
        <v>311.82</v>
      </c>
      <c r="E194" s="2">
        <f>IFERROR(__xludf.DUMMYFUNCTION("""COMPUTED_VALUE"""),318.36)</f>
        <v>318.36</v>
      </c>
      <c r="F194" s="2">
        <f>IFERROR(__xludf.DUMMYFUNCTION("""COMPUTED_VALUE"""),2.2503662E7)</f>
        <v>22503662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IFERROR(__xludf.DUMMYFUNCTION("""COMPUTED_VALUE"""),319.12)</f>
        <v>319.12</v>
      </c>
      <c r="C195" s="2">
        <f>IFERROR(__xludf.DUMMYFUNCTION("""COMPUTED_VALUE"""),324.66)</f>
        <v>324.66</v>
      </c>
      <c r="D195" s="2">
        <f>IFERROR(__xludf.DUMMYFUNCTION("""COMPUTED_VALUE"""),318.16)</f>
        <v>318.16</v>
      </c>
      <c r="E195" s="2">
        <f>IFERROR(__xludf.DUMMYFUNCTION("""COMPUTED_VALUE"""),321.84)</f>
        <v>321.84</v>
      </c>
      <c r="F195" s="2">
        <f>IFERROR(__xludf.DUMMYFUNCTION("""COMPUTED_VALUE"""),1.9037973E7)</f>
        <v>19037973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IFERROR(__xludf.DUMMYFUNCTION("""COMPUTED_VALUE"""),323.01)</f>
        <v>323.01</v>
      </c>
      <c r="C196" s="2">
        <f>IFERROR(__xludf.DUMMYFUNCTION("""COMPUTED_VALUE"""),328.84)</f>
        <v>328.84</v>
      </c>
      <c r="D196" s="2">
        <f>IFERROR(__xludf.DUMMYFUNCTION("""COMPUTED_VALUE"""),322.95)</f>
        <v>322.95</v>
      </c>
      <c r="E196" s="2">
        <f>IFERROR(__xludf.DUMMYFUNCTION("""COMPUTED_VALUE"""),327.82)</f>
        <v>327.82</v>
      </c>
      <c r="F196" s="2">
        <f>IFERROR(__xludf.DUMMYFUNCTION("""COMPUTED_VALUE"""),2.2036297E7)</f>
        <v>22036297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IFERROR(__xludf.DUMMYFUNCTION("""COMPUTED_VALUE"""),328.0)</f>
        <v>328</v>
      </c>
      <c r="C197" s="2">
        <f>IFERROR(__xludf.DUMMYFUNCTION("""COMPUTED_VALUE"""),330.54)</f>
        <v>330.54</v>
      </c>
      <c r="D197" s="2">
        <f>IFERROR(__xludf.DUMMYFUNCTION("""COMPUTED_VALUE"""),322.69)</f>
        <v>322.69</v>
      </c>
      <c r="E197" s="2">
        <f>IFERROR(__xludf.DUMMYFUNCTION("""COMPUTED_VALUE"""),324.16)</f>
        <v>324.16</v>
      </c>
      <c r="F197" s="2">
        <f>IFERROR(__xludf.DUMMYFUNCTION("""COMPUTED_VALUE"""),2.0530518E7)</f>
        <v>20530518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IFERROR(__xludf.DUMMYFUNCTION("""COMPUTED_VALUE"""),323.53)</f>
        <v>323.53</v>
      </c>
      <c r="C198" s="2">
        <f>IFERROR(__xludf.DUMMYFUNCTION("""COMPUTED_VALUE"""),325.05)</f>
        <v>325.05</v>
      </c>
      <c r="D198" s="2">
        <f>IFERROR(__xludf.DUMMYFUNCTION("""COMPUTED_VALUE"""),312.37)</f>
        <v>312.37</v>
      </c>
      <c r="E198" s="2">
        <f>IFERROR(__xludf.DUMMYFUNCTION("""COMPUTED_VALUE"""),314.69)</f>
        <v>314.69</v>
      </c>
      <c r="F198" s="2">
        <f>IFERROR(__xludf.DUMMYFUNCTION("""COMPUTED_VALUE"""),2.136079E7)</f>
        <v>21360790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IFERROR(__xludf.DUMMYFUNCTION("""COMPUTED_VALUE"""),318.64)</f>
        <v>318.64</v>
      </c>
      <c r="C199" s="2">
        <f>IFERROR(__xludf.DUMMYFUNCTION("""COMPUTED_VALUE"""),321.82)</f>
        <v>321.82</v>
      </c>
      <c r="D199" s="2">
        <f>IFERROR(__xludf.DUMMYFUNCTION("""COMPUTED_VALUE"""),315.52)</f>
        <v>315.52</v>
      </c>
      <c r="E199" s="2">
        <f>IFERROR(__xludf.DUMMYFUNCTION("""COMPUTED_VALUE"""),321.15)</f>
        <v>321.15</v>
      </c>
      <c r="F199" s="2">
        <f>IFERROR(__xludf.DUMMYFUNCTION("""COMPUTED_VALUE"""),1.6536114E7)</f>
        <v>16536114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IFERROR(__xludf.DUMMYFUNCTION("""COMPUTED_VALUE"""),318.18)</f>
        <v>318.18</v>
      </c>
      <c r="C200" s="2">
        <f>IFERROR(__xludf.DUMMYFUNCTION("""COMPUTED_VALUE"""),324.4)</f>
        <v>324.4</v>
      </c>
      <c r="D200" s="2">
        <f>IFERROR(__xludf.DUMMYFUNCTION("""COMPUTED_VALUE"""),317.3)</f>
        <v>317.3</v>
      </c>
      <c r="E200" s="2">
        <f>IFERROR(__xludf.DUMMYFUNCTION("""COMPUTED_VALUE"""),324.0)</f>
        <v>324</v>
      </c>
      <c r="F200" s="2">
        <f>IFERROR(__xludf.DUMMYFUNCTION("""COMPUTED_VALUE"""),1.6387799E7)</f>
        <v>16387799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IFERROR(__xludf.DUMMYFUNCTION("""COMPUTED_VALUE"""),321.39)</f>
        <v>321.39</v>
      </c>
      <c r="C201" s="2">
        <f>IFERROR(__xludf.DUMMYFUNCTION("""COMPUTED_VALUE"""),325.94)</f>
        <v>325.94</v>
      </c>
      <c r="D201" s="2">
        <f>IFERROR(__xludf.DUMMYFUNCTION("""COMPUTED_VALUE"""),315.56)</f>
        <v>315.56</v>
      </c>
      <c r="E201" s="2">
        <f>IFERROR(__xludf.DUMMYFUNCTION("""COMPUTED_VALUE"""),316.97)</f>
        <v>316.97</v>
      </c>
      <c r="F201" s="2">
        <f>IFERROR(__xludf.DUMMYFUNCTION("""COMPUTED_VALUE"""),1.6851003E7)</f>
        <v>16851003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IFERROR(__xludf.DUMMYFUNCTION("""COMPUTED_VALUE"""),319.88)</f>
        <v>319.88</v>
      </c>
      <c r="C202" s="2">
        <f>IFERROR(__xludf.DUMMYFUNCTION("""COMPUTED_VALUE"""),321.89)</f>
        <v>321.89</v>
      </c>
      <c r="D202" s="2">
        <f>IFERROR(__xludf.DUMMYFUNCTION("""COMPUTED_VALUE"""),311.75)</f>
        <v>311.75</v>
      </c>
      <c r="E202" s="2">
        <f>IFERROR(__xludf.DUMMYFUNCTION("""COMPUTED_VALUE"""),312.81)</f>
        <v>312.81</v>
      </c>
      <c r="F202" s="2">
        <f>IFERROR(__xludf.DUMMYFUNCTION("""COMPUTED_VALUE"""),1.870916E7)</f>
        <v>18709160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IFERROR(__xludf.DUMMYFUNCTION("""COMPUTED_VALUE"""),314.14)</f>
        <v>314.14</v>
      </c>
      <c r="C203" s="2">
        <f>IFERROR(__xludf.DUMMYFUNCTION("""COMPUTED_VALUE"""),315.3)</f>
        <v>315.3</v>
      </c>
      <c r="D203" s="2">
        <f>IFERROR(__xludf.DUMMYFUNCTION("""COMPUTED_VALUE"""),306.47)</f>
        <v>306.47</v>
      </c>
      <c r="E203" s="2">
        <f>IFERROR(__xludf.DUMMYFUNCTION("""COMPUTED_VALUE"""),308.65)</f>
        <v>308.65</v>
      </c>
      <c r="F203" s="2">
        <f>IFERROR(__xludf.DUMMYFUNCTION("""COMPUTED_VALUE"""),2.2312275E7)</f>
        <v>22312275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IFERROR(__xludf.DUMMYFUNCTION("""COMPUTED_VALUE"""),309.5)</f>
        <v>309.5</v>
      </c>
      <c r="C204" s="2">
        <f>IFERROR(__xludf.DUMMYFUNCTION("""COMPUTED_VALUE"""),317.36)</f>
        <v>317.36</v>
      </c>
      <c r="D204" s="2">
        <f>IFERROR(__xludf.DUMMYFUNCTION("""COMPUTED_VALUE"""),307.26)</f>
        <v>307.26</v>
      </c>
      <c r="E204" s="2">
        <f>IFERROR(__xludf.DUMMYFUNCTION("""COMPUTED_VALUE"""),314.01)</f>
        <v>314.01</v>
      </c>
      <c r="F204" s="2">
        <f>IFERROR(__xludf.DUMMYFUNCTION("""COMPUTED_VALUE"""),1.7796785E7)</f>
        <v>17796785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IFERROR(__xludf.DUMMYFUNCTION("""COMPUTED_VALUE"""),316.78)</f>
        <v>316.78</v>
      </c>
      <c r="C205" s="2">
        <f>IFERROR(__xludf.DUMMYFUNCTION("""COMPUTED_VALUE"""),318.35)</f>
        <v>318.35</v>
      </c>
      <c r="D205" s="2">
        <f>IFERROR(__xludf.DUMMYFUNCTION("""COMPUTED_VALUE"""),310.63)</f>
        <v>310.63</v>
      </c>
      <c r="E205" s="2">
        <f>IFERROR(__xludf.DUMMYFUNCTION("""COMPUTED_VALUE"""),312.55)</f>
        <v>312.55</v>
      </c>
      <c r="F205" s="2">
        <f>IFERROR(__xludf.DUMMYFUNCTION("""COMPUTED_VALUE"""),1.9525488E7)</f>
        <v>19525488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IFERROR(__xludf.DUMMYFUNCTION("""COMPUTED_VALUE"""),310.0)</f>
        <v>310</v>
      </c>
      <c r="C206" s="2">
        <f>IFERROR(__xludf.DUMMYFUNCTION("""COMPUTED_VALUE"""),310.88)</f>
        <v>310.88</v>
      </c>
      <c r="D206" s="2">
        <f>IFERROR(__xludf.DUMMYFUNCTION("""COMPUTED_VALUE"""),298.84)</f>
        <v>298.84</v>
      </c>
      <c r="E206" s="2">
        <f>IFERROR(__xludf.DUMMYFUNCTION("""COMPUTED_VALUE"""),299.53)</f>
        <v>299.53</v>
      </c>
      <c r="F206" s="2">
        <f>IFERROR(__xludf.DUMMYFUNCTION("""COMPUTED_VALUE"""),4.2192474E7)</f>
        <v>42192474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IFERROR(__xludf.DUMMYFUNCTION("""COMPUTED_VALUE"""),295.0)</f>
        <v>295</v>
      </c>
      <c r="C207" s="2">
        <f>IFERROR(__xludf.DUMMYFUNCTION("""COMPUTED_VALUE"""),295.0)</f>
        <v>295</v>
      </c>
      <c r="D207" s="2">
        <f>IFERROR(__xludf.DUMMYFUNCTION("""COMPUTED_VALUE"""),279.4)</f>
        <v>279.4</v>
      </c>
      <c r="E207" s="2">
        <f>IFERROR(__xludf.DUMMYFUNCTION("""COMPUTED_VALUE"""),288.35)</f>
        <v>288.35</v>
      </c>
      <c r="F207" s="2">
        <f>IFERROR(__xludf.DUMMYFUNCTION("""COMPUTED_VALUE"""),6.6684141E7)</f>
        <v>66684141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IFERROR(__xludf.DUMMYFUNCTION("""COMPUTED_VALUE"""),294.48)</f>
        <v>294.48</v>
      </c>
      <c r="C208" s="2">
        <f>IFERROR(__xludf.DUMMYFUNCTION("""COMPUTED_VALUE"""),299.31)</f>
        <v>299.31</v>
      </c>
      <c r="D208" s="2">
        <f>IFERROR(__xludf.DUMMYFUNCTION("""COMPUTED_VALUE"""),292.97)</f>
        <v>292.97</v>
      </c>
      <c r="E208" s="2">
        <f>IFERROR(__xludf.DUMMYFUNCTION("""COMPUTED_VALUE"""),296.73)</f>
        <v>296.73</v>
      </c>
      <c r="F208" s="2">
        <f>IFERROR(__xludf.DUMMYFUNCTION("""COMPUTED_VALUE"""),2.9596256E7)</f>
        <v>29596256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IFERROR(__xludf.DUMMYFUNCTION("""COMPUTED_VALUE"""),299.09)</f>
        <v>299.09</v>
      </c>
      <c r="C209" s="2">
        <f>IFERROR(__xludf.DUMMYFUNCTION("""COMPUTED_VALUE"""),309.4)</f>
        <v>309.4</v>
      </c>
      <c r="D209" s="2">
        <f>IFERROR(__xludf.DUMMYFUNCTION("""COMPUTED_VALUE"""),299.05)</f>
        <v>299.05</v>
      </c>
      <c r="E209" s="2">
        <f>IFERROR(__xludf.DUMMYFUNCTION("""COMPUTED_VALUE"""),302.66)</f>
        <v>302.66</v>
      </c>
      <c r="F209" s="2">
        <f>IFERROR(__xludf.DUMMYFUNCTION("""COMPUTED_VALUE"""),2.8435053E7)</f>
        <v>28435053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IFERROR(__xludf.DUMMYFUNCTION("""COMPUTED_VALUE"""),303.31)</f>
        <v>303.31</v>
      </c>
      <c r="C210" s="2">
        <f>IFERROR(__xludf.DUMMYFUNCTION("""COMPUTED_VALUE"""),303.68)</f>
        <v>303.68</v>
      </c>
      <c r="D210" s="2">
        <f>IFERROR(__xludf.DUMMYFUNCTION("""COMPUTED_VALUE"""),296.86)</f>
        <v>296.86</v>
      </c>
      <c r="E210" s="2">
        <f>IFERROR(__xludf.DUMMYFUNCTION("""COMPUTED_VALUE"""),301.27)</f>
        <v>301.27</v>
      </c>
      <c r="F210" s="2">
        <f>IFERROR(__xludf.DUMMYFUNCTION("""COMPUTED_VALUE"""),1.9434168E7)</f>
        <v>19434168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IFERROR(__xludf.DUMMYFUNCTION("""COMPUTED_VALUE"""),301.85)</f>
        <v>301.85</v>
      </c>
      <c r="C211" s="2">
        <f>IFERROR(__xludf.DUMMYFUNCTION("""COMPUTED_VALUE"""),312.74)</f>
        <v>312.74</v>
      </c>
      <c r="D211" s="2">
        <f>IFERROR(__xludf.DUMMYFUNCTION("""COMPUTED_VALUE"""),301.85)</f>
        <v>301.85</v>
      </c>
      <c r="E211" s="2">
        <f>IFERROR(__xludf.DUMMYFUNCTION("""COMPUTED_VALUE"""),311.85)</f>
        <v>311.85</v>
      </c>
      <c r="F211" s="2">
        <f>IFERROR(__xludf.DUMMYFUNCTION("""COMPUTED_VALUE"""),2.043458E7)</f>
        <v>20434580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IFERROR(__xludf.DUMMYFUNCTION("""COMPUTED_VALUE"""),317.3)</f>
        <v>317.3</v>
      </c>
      <c r="C212" s="2">
        <f>IFERROR(__xludf.DUMMYFUNCTION("""COMPUTED_VALUE"""),318.82)</f>
        <v>318.82</v>
      </c>
      <c r="D212" s="2">
        <f>IFERROR(__xludf.DUMMYFUNCTION("""COMPUTED_VALUE"""),308.33)</f>
        <v>308.33</v>
      </c>
      <c r="E212" s="2">
        <f>IFERROR(__xludf.DUMMYFUNCTION("""COMPUTED_VALUE"""),310.87)</f>
        <v>310.87</v>
      </c>
      <c r="F212" s="2">
        <f>IFERROR(__xludf.DUMMYFUNCTION("""COMPUTED_VALUE"""),2.163182E7)</f>
        <v>21631820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IFERROR(__xludf.DUMMYFUNCTION("""COMPUTED_VALUE"""),312.55)</f>
        <v>312.55</v>
      </c>
      <c r="C213" s="2">
        <f>IFERROR(__xludf.DUMMYFUNCTION("""COMPUTED_VALUE"""),315.55)</f>
        <v>315.55</v>
      </c>
      <c r="D213" s="2">
        <f>IFERROR(__xludf.DUMMYFUNCTION("""COMPUTED_VALUE"""),311.02)</f>
        <v>311.02</v>
      </c>
      <c r="E213" s="2">
        <f>IFERROR(__xludf.DUMMYFUNCTION("""COMPUTED_VALUE"""),314.6)</f>
        <v>314.6</v>
      </c>
      <c r="F213" s="2">
        <f>IFERROR(__xludf.DUMMYFUNCTION("""COMPUTED_VALUE"""),1.6764315E7)</f>
        <v>16764315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IFERROR(__xludf.DUMMYFUNCTION("""COMPUTED_VALUE"""),315.98)</f>
        <v>315.98</v>
      </c>
      <c r="C214" s="2">
        <f>IFERROR(__xludf.DUMMYFUNCTION("""COMPUTED_VALUE"""),318.33)</f>
        <v>318.33</v>
      </c>
      <c r="D214" s="2">
        <f>IFERROR(__xludf.DUMMYFUNCTION("""COMPUTED_VALUE"""),314.45)</f>
        <v>314.45</v>
      </c>
      <c r="E214" s="2">
        <f>IFERROR(__xludf.DUMMYFUNCTION("""COMPUTED_VALUE"""),315.8)</f>
        <v>315.8</v>
      </c>
      <c r="F214" s="2">
        <f>IFERROR(__xludf.DUMMYFUNCTION("""COMPUTED_VALUE"""),1.2887699E7)</f>
        <v>12887699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IFERROR(__xludf.DUMMYFUNCTION("""COMPUTED_VALUE"""),317.06)</f>
        <v>317.06</v>
      </c>
      <c r="C215" s="2">
        <f>IFERROR(__xludf.DUMMYFUNCTION("""COMPUTED_VALUE"""),321.0)</f>
        <v>321</v>
      </c>
      <c r="D215" s="2">
        <f>IFERROR(__xludf.DUMMYFUNCTION("""COMPUTED_VALUE"""),315.12)</f>
        <v>315.12</v>
      </c>
      <c r="E215" s="2">
        <f>IFERROR(__xludf.DUMMYFUNCTION("""COMPUTED_VALUE"""),318.82)</f>
        <v>318.82</v>
      </c>
      <c r="F215" s="2">
        <f>IFERROR(__xludf.DUMMYFUNCTION("""COMPUTED_VALUE"""),1.4055614E7)</f>
        <v>14055614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IFERROR(__xludf.DUMMYFUNCTION("""COMPUTED_VALUE"""),318.14)</f>
        <v>318.14</v>
      </c>
      <c r="C216" s="2">
        <f>IFERROR(__xludf.DUMMYFUNCTION("""COMPUTED_VALUE"""),321.33)</f>
        <v>321.33</v>
      </c>
      <c r="D216" s="2">
        <f>IFERROR(__xludf.DUMMYFUNCTION("""COMPUTED_VALUE"""),314.88)</f>
        <v>314.88</v>
      </c>
      <c r="E216" s="2">
        <f>IFERROR(__xludf.DUMMYFUNCTION("""COMPUTED_VALUE"""),319.78)</f>
        <v>319.78</v>
      </c>
      <c r="F216" s="2">
        <f>IFERROR(__xludf.DUMMYFUNCTION("""COMPUTED_VALUE"""),1.3609704E7)</f>
        <v>13609704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IFERROR(__xludf.DUMMYFUNCTION("""COMPUTED_VALUE"""),319.42)</f>
        <v>319.42</v>
      </c>
      <c r="C217" s="2">
        <f>IFERROR(__xludf.DUMMYFUNCTION("""COMPUTED_VALUE"""),324.18)</f>
        <v>324.18</v>
      </c>
      <c r="D217" s="2">
        <f>IFERROR(__xludf.DUMMYFUNCTION("""COMPUTED_VALUE"""),318.8)</f>
        <v>318.8</v>
      </c>
      <c r="E217" s="2">
        <f>IFERROR(__xludf.DUMMYFUNCTION("""COMPUTED_VALUE"""),320.55)</f>
        <v>320.55</v>
      </c>
      <c r="F217" s="2">
        <f>IFERROR(__xludf.DUMMYFUNCTION("""COMPUTED_VALUE"""),1.6103071E7)</f>
        <v>16103071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IFERROR(__xludf.DUMMYFUNCTION("""COMPUTED_VALUE"""),319.94)</f>
        <v>319.94</v>
      </c>
      <c r="C218" s="2">
        <f>IFERROR(__xludf.DUMMYFUNCTION("""COMPUTED_VALUE"""),329.1)</f>
        <v>329.1</v>
      </c>
      <c r="D218" s="2">
        <f>IFERROR(__xludf.DUMMYFUNCTION("""COMPUTED_VALUE"""),319.46)</f>
        <v>319.46</v>
      </c>
      <c r="E218" s="2">
        <f>IFERROR(__xludf.DUMMYFUNCTION("""COMPUTED_VALUE"""),328.77)</f>
        <v>328.77</v>
      </c>
      <c r="F218" s="2">
        <f>IFERROR(__xludf.DUMMYFUNCTION("""COMPUTED_VALUE"""),1.9116921E7)</f>
        <v>19116921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IFERROR(__xludf.DUMMYFUNCTION("""COMPUTED_VALUE"""),326.2)</f>
        <v>326.2</v>
      </c>
      <c r="C219" s="2">
        <f>IFERROR(__xludf.DUMMYFUNCTION("""COMPUTED_VALUE"""),332.33)</f>
        <v>332.33</v>
      </c>
      <c r="D219" s="2">
        <f>IFERROR(__xludf.DUMMYFUNCTION("""COMPUTED_VALUE"""),325.7)</f>
        <v>325.7</v>
      </c>
      <c r="E219" s="2">
        <f>IFERROR(__xludf.DUMMYFUNCTION("""COMPUTED_VALUE"""),329.19)</f>
        <v>329.19</v>
      </c>
      <c r="F219" s="2">
        <f>IFERROR(__xludf.DUMMYFUNCTION("""COMPUTED_VALUE"""),1.6908948E7)</f>
        <v>16908948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IFERROR(__xludf.DUMMYFUNCTION("""COMPUTED_VALUE"""),334.54)</f>
        <v>334.54</v>
      </c>
      <c r="C220" s="2">
        <f>IFERROR(__xludf.DUMMYFUNCTION("""COMPUTED_VALUE"""),338.1)</f>
        <v>338.1</v>
      </c>
      <c r="D220" s="2">
        <f>IFERROR(__xludf.DUMMYFUNCTION("""COMPUTED_VALUE"""),333.33)</f>
        <v>333.33</v>
      </c>
      <c r="E220" s="2">
        <f>IFERROR(__xludf.DUMMYFUNCTION("""COMPUTED_VALUE"""),336.31)</f>
        <v>336.31</v>
      </c>
      <c r="F220" s="2">
        <f>IFERROR(__xludf.DUMMYFUNCTION("""COMPUTED_VALUE"""),1.7179403E7)</f>
        <v>17179403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IFERROR(__xludf.DUMMYFUNCTION("""COMPUTED_VALUE"""),337.93)</f>
        <v>337.93</v>
      </c>
      <c r="C221" s="2">
        <f>IFERROR(__xludf.DUMMYFUNCTION("""COMPUTED_VALUE"""),338.4)</f>
        <v>338.4</v>
      </c>
      <c r="D221" s="2">
        <f>IFERROR(__xludf.DUMMYFUNCTION("""COMPUTED_VALUE"""),330.02)</f>
        <v>330.02</v>
      </c>
      <c r="E221" s="2">
        <f>IFERROR(__xludf.DUMMYFUNCTION("""COMPUTED_VALUE"""),332.71)</f>
        <v>332.71</v>
      </c>
      <c r="F221" s="2">
        <f>IFERROR(__xludf.DUMMYFUNCTION("""COMPUTED_VALUE"""),1.453118E7)</f>
        <v>14531180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IFERROR(__xludf.DUMMYFUNCTION("""COMPUTED_VALUE"""),329.37)</f>
        <v>329.37</v>
      </c>
      <c r="C222" s="2">
        <f>IFERROR(__xludf.DUMMYFUNCTION("""COMPUTED_VALUE"""),334.58)</f>
        <v>334.58</v>
      </c>
      <c r="D222" s="2">
        <f>IFERROR(__xludf.DUMMYFUNCTION("""COMPUTED_VALUE"""),326.38)</f>
        <v>326.38</v>
      </c>
      <c r="E222" s="2">
        <f>IFERROR(__xludf.DUMMYFUNCTION("""COMPUTED_VALUE"""),334.19)</f>
        <v>334.19</v>
      </c>
      <c r="F222" s="2">
        <f>IFERROR(__xludf.DUMMYFUNCTION("""COMPUTED_VALUE"""),1.8932572E7)</f>
        <v>18932572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IFERROR(__xludf.DUMMYFUNCTION("""COMPUTED_VALUE"""),330.26)</f>
        <v>330.26</v>
      </c>
      <c r="C223" s="2">
        <f>IFERROR(__xludf.DUMMYFUNCTION("""COMPUTED_VALUE"""),335.5)</f>
        <v>335.5</v>
      </c>
      <c r="D223" s="2">
        <f>IFERROR(__xludf.DUMMYFUNCTION("""COMPUTED_VALUE"""),329.35)</f>
        <v>329.35</v>
      </c>
      <c r="E223" s="2">
        <f>IFERROR(__xludf.DUMMYFUNCTION("""COMPUTED_VALUE"""),335.04)</f>
        <v>335.04</v>
      </c>
      <c r="F223" s="2">
        <f>IFERROR(__xludf.DUMMYFUNCTION("""COMPUTED_VALUE"""),1.4519213E7)</f>
        <v>14519213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IFERROR(__xludf.DUMMYFUNCTION("""COMPUTED_VALUE"""),334.89)</f>
        <v>334.89</v>
      </c>
      <c r="C224" s="2">
        <f>IFERROR(__xludf.DUMMYFUNCTION("""COMPUTED_VALUE"""),341.87)</f>
        <v>341.87</v>
      </c>
      <c r="D224" s="2">
        <f>IFERROR(__xludf.DUMMYFUNCTION("""COMPUTED_VALUE"""),334.19)</f>
        <v>334.19</v>
      </c>
      <c r="E224" s="2">
        <f>IFERROR(__xludf.DUMMYFUNCTION("""COMPUTED_VALUE"""),339.97)</f>
        <v>339.97</v>
      </c>
      <c r="F224" s="2">
        <f>IFERROR(__xludf.DUMMYFUNCTION("""COMPUTED_VALUE"""),1.6976129E7)</f>
        <v>16976129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IFERROR(__xludf.DUMMYFUNCTION("""COMPUTED_VALUE"""),338.33)</f>
        <v>338.33</v>
      </c>
      <c r="C225" s="2">
        <f>IFERROR(__xludf.DUMMYFUNCTION("""COMPUTED_VALUE"""),339.9)</f>
        <v>339.9</v>
      </c>
      <c r="D225" s="2">
        <f>IFERROR(__xludf.DUMMYFUNCTION("""COMPUTED_VALUE"""),335.9)</f>
        <v>335.9</v>
      </c>
      <c r="E225" s="2">
        <f>IFERROR(__xludf.DUMMYFUNCTION("""COMPUTED_VALUE"""),336.98)</f>
        <v>336.98</v>
      </c>
      <c r="F225" s="2">
        <f>IFERROR(__xludf.DUMMYFUNCTION("""COMPUTED_VALUE"""),1.2027863E7)</f>
        <v>12027863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IFERROR(__xludf.DUMMYFUNCTION("""COMPUTED_VALUE"""),339.21)</f>
        <v>339.21</v>
      </c>
      <c r="C226" s="2">
        <f>IFERROR(__xludf.DUMMYFUNCTION("""COMPUTED_VALUE"""),342.92)</f>
        <v>342.92</v>
      </c>
      <c r="D226" s="2">
        <f>IFERROR(__xludf.DUMMYFUNCTION("""COMPUTED_VALUE"""),338.58)</f>
        <v>338.58</v>
      </c>
      <c r="E226" s="2">
        <f>IFERROR(__xludf.DUMMYFUNCTION("""COMPUTED_VALUE"""),341.49)</f>
        <v>341.49</v>
      </c>
      <c r="F226" s="2">
        <f>IFERROR(__xludf.DUMMYFUNCTION("""COMPUTED_VALUE"""),1.0715177E7)</f>
        <v>10715177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IFERROR(__xludf.DUMMYFUNCTION("""COMPUTED_VALUE"""),340.13)</f>
        <v>340.13</v>
      </c>
      <c r="C227" s="2">
        <f>IFERROR(__xludf.DUMMYFUNCTION("""COMPUTED_VALUE"""),341.86)</f>
        <v>341.86</v>
      </c>
      <c r="D227" s="2">
        <f>IFERROR(__xludf.DUMMYFUNCTION("""COMPUTED_VALUE"""),336.77)</f>
        <v>336.77</v>
      </c>
      <c r="E227" s="2">
        <f>IFERROR(__xludf.DUMMYFUNCTION("""COMPUTED_VALUE"""),338.23)</f>
        <v>338.23</v>
      </c>
      <c r="F227" s="2">
        <f>IFERROR(__xludf.DUMMYFUNCTION("""COMPUTED_VALUE"""),5467488.0)</f>
        <v>5467488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IFERROR(__xludf.DUMMYFUNCTION("""COMPUTED_VALUE"""),336.18)</f>
        <v>336.18</v>
      </c>
      <c r="C228" s="2">
        <f>IFERROR(__xludf.DUMMYFUNCTION("""COMPUTED_VALUE"""),339.9)</f>
        <v>339.9</v>
      </c>
      <c r="D228" s="2">
        <f>IFERROR(__xludf.DUMMYFUNCTION("""COMPUTED_VALUE"""),334.2)</f>
        <v>334.2</v>
      </c>
      <c r="E228" s="2">
        <f>IFERROR(__xludf.DUMMYFUNCTION("""COMPUTED_VALUE"""),334.7)</f>
        <v>334.7</v>
      </c>
      <c r="F228" s="2">
        <f>IFERROR(__xludf.DUMMYFUNCTION("""COMPUTED_VALUE"""),1.5684454E7)</f>
        <v>15684454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IFERROR(__xludf.DUMMYFUNCTION("""COMPUTED_VALUE"""),333.4)</f>
        <v>333.4</v>
      </c>
      <c r="C229" s="2">
        <f>IFERROR(__xludf.DUMMYFUNCTION("""COMPUTED_VALUE"""),339.38)</f>
        <v>339.38</v>
      </c>
      <c r="D229" s="2">
        <f>IFERROR(__xludf.DUMMYFUNCTION("""COMPUTED_VALUE"""),333.4)</f>
        <v>333.4</v>
      </c>
      <c r="E229" s="2">
        <f>IFERROR(__xludf.DUMMYFUNCTION("""COMPUTED_VALUE"""),338.99)</f>
        <v>338.99</v>
      </c>
      <c r="F229" s="2">
        <f>IFERROR(__xludf.DUMMYFUNCTION("""COMPUTED_VALUE"""),1.2637245E7)</f>
        <v>12637245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IFERROR(__xludf.DUMMYFUNCTION("""COMPUTED_VALUE"""),339.69)</f>
        <v>339.69</v>
      </c>
      <c r="C230" s="2">
        <f>IFERROR(__xludf.DUMMYFUNCTION("""COMPUTED_VALUE"""),339.9)</f>
        <v>339.9</v>
      </c>
      <c r="D230" s="2">
        <f>IFERROR(__xludf.DUMMYFUNCTION("""COMPUTED_VALUE"""),330.78)</f>
        <v>330.78</v>
      </c>
      <c r="E230" s="2">
        <f>IFERROR(__xludf.DUMMYFUNCTION("""COMPUTED_VALUE"""),332.2)</f>
        <v>332.2</v>
      </c>
      <c r="F230" s="2">
        <f>IFERROR(__xludf.DUMMYFUNCTION("""COMPUTED_VALUE"""),1.6024497E7)</f>
        <v>16024497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IFERROR(__xludf.DUMMYFUNCTION("""COMPUTED_VALUE"""),331.89)</f>
        <v>331.89</v>
      </c>
      <c r="C231" s="2">
        <f>IFERROR(__xludf.DUMMYFUNCTION("""COMPUTED_VALUE"""),333.5)</f>
        <v>333.5</v>
      </c>
      <c r="D231" s="2">
        <f>IFERROR(__xludf.DUMMYFUNCTION("""COMPUTED_VALUE"""),322.4)</f>
        <v>322.4</v>
      </c>
      <c r="E231" s="2">
        <f>IFERROR(__xludf.DUMMYFUNCTION("""COMPUTED_VALUE"""),327.15)</f>
        <v>327.15</v>
      </c>
      <c r="F231" s="2">
        <f>IFERROR(__xludf.DUMMYFUNCTION("""COMPUTED_VALUE"""),2.3146387E7)</f>
        <v>23146387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IFERROR(__xludf.DUMMYFUNCTION("""COMPUTED_VALUE"""),325.48)</f>
        <v>325.48</v>
      </c>
      <c r="C232" s="2">
        <f>IFERROR(__xludf.DUMMYFUNCTION("""COMPUTED_VALUE"""),326.86)</f>
        <v>326.86</v>
      </c>
      <c r="D232" s="2">
        <f>IFERROR(__xludf.DUMMYFUNCTION("""COMPUTED_VALUE"""),320.76)</f>
        <v>320.76</v>
      </c>
      <c r="E232" s="2">
        <f>IFERROR(__xludf.DUMMYFUNCTION("""COMPUTED_VALUE"""),324.82)</f>
        <v>324.82</v>
      </c>
      <c r="F232" s="2">
        <f>IFERROR(__xludf.DUMMYFUNCTION("""COMPUTED_VALUE"""),1.5276375E7)</f>
        <v>15276375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IFERROR(__xludf.DUMMYFUNCTION("""COMPUTED_VALUE"""),317.29)</f>
        <v>317.29</v>
      </c>
      <c r="C233" s="2">
        <f>IFERROR(__xludf.DUMMYFUNCTION("""COMPUTED_VALUE"""),320.86)</f>
        <v>320.86</v>
      </c>
      <c r="D233" s="2">
        <f>IFERROR(__xludf.DUMMYFUNCTION("""COMPUTED_VALUE"""),313.66)</f>
        <v>313.66</v>
      </c>
      <c r="E233" s="2">
        <f>IFERROR(__xludf.DUMMYFUNCTION("""COMPUTED_VALUE"""),320.02)</f>
        <v>320.02</v>
      </c>
      <c r="F233" s="2">
        <f>IFERROR(__xludf.DUMMYFUNCTION("""COMPUTED_VALUE"""),1.903708E7)</f>
        <v>19037080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IFERROR(__xludf.DUMMYFUNCTION("""COMPUTED_VALUE"""),318.98)</f>
        <v>318.98</v>
      </c>
      <c r="C234" s="2">
        <f>IFERROR(__xludf.DUMMYFUNCTION("""COMPUTED_VALUE"""),321.88)</f>
        <v>321.88</v>
      </c>
      <c r="D234" s="2">
        <f>IFERROR(__xludf.DUMMYFUNCTION("""COMPUTED_VALUE"""),315.39)</f>
        <v>315.39</v>
      </c>
      <c r="E234" s="2">
        <f>IFERROR(__xludf.DUMMYFUNCTION("""COMPUTED_VALUE"""),318.29)</f>
        <v>318.29</v>
      </c>
      <c r="F234" s="2">
        <f>IFERROR(__xludf.DUMMYFUNCTION("""COMPUTED_VALUE"""),1.6952128E7)</f>
        <v>16952128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IFERROR(__xludf.DUMMYFUNCTION("""COMPUTED_VALUE"""),321.93)</f>
        <v>321.93</v>
      </c>
      <c r="C235" s="2">
        <f>IFERROR(__xludf.DUMMYFUNCTION("""COMPUTED_VALUE"""),322.25)</f>
        <v>322.25</v>
      </c>
      <c r="D235" s="2">
        <f>IFERROR(__xludf.DUMMYFUNCTION("""COMPUTED_VALUE"""),317.04)</f>
        <v>317.04</v>
      </c>
      <c r="E235" s="2">
        <f>IFERROR(__xludf.DUMMYFUNCTION("""COMPUTED_VALUE"""),317.45)</f>
        <v>317.45</v>
      </c>
      <c r="F235" s="2">
        <f>IFERROR(__xludf.DUMMYFUNCTION("""COMPUTED_VALUE"""),1.1294337E7)</f>
        <v>11294337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IFERROR(__xludf.DUMMYFUNCTION("""COMPUTED_VALUE"""),317.77)</f>
        <v>317.77</v>
      </c>
      <c r="C236" s="2">
        <f>IFERROR(__xludf.DUMMYFUNCTION("""COMPUTED_VALUE"""),328.24)</f>
        <v>328.24</v>
      </c>
      <c r="D236" s="2">
        <f>IFERROR(__xludf.DUMMYFUNCTION("""COMPUTED_VALUE"""),317.77)</f>
        <v>317.77</v>
      </c>
      <c r="E236" s="2">
        <f>IFERROR(__xludf.DUMMYFUNCTION("""COMPUTED_VALUE"""),326.59)</f>
        <v>326.59</v>
      </c>
      <c r="F236" s="2">
        <f>IFERROR(__xludf.DUMMYFUNCTION("""COMPUTED_VALUE"""),1.5905079E7)</f>
        <v>15905079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IFERROR(__xludf.DUMMYFUNCTION("""COMPUTED_VALUE"""),323.09)</f>
        <v>323.09</v>
      </c>
      <c r="C237" s="2">
        <f>IFERROR(__xludf.DUMMYFUNCTION("""COMPUTED_VALUE"""),333.17)</f>
        <v>333.17</v>
      </c>
      <c r="D237" s="2">
        <f>IFERROR(__xludf.DUMMYFUNCTION("""COMPUTED_VALUE"""),323.0)</f>
        <v>323</v>
      </c>
      <c r="E237" s="2">
        <f>IFERROR(__xludf.DUMMYFUNCTION("""COMPUTED_VALUE"""),332.75)</f>
        <v>332.75</v>
      </c>
      <c r="F237" s="2">
        <f>IFERROR(__xludf.DUMMYFUNCTION("""COMPUTED_VALUE"""),1.4087351E7)</f>
        <v>14087351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IFERROR(__xludf.DUMMYFUNCTION("""COMPUTED_VALUE"""),329.4)</f>
        <v>329.4</v>
      </c>
      <c r="C238" s="2">
        <f>IFERROR(__xludf.DUMMYFUNCTION("""COMPUTED_VALUE"""),329.89)</f>
        <v>329.89</v>
      </c>
      <c r="D238" s="2">
        <f>IFERROR(__xludf.DUMMYFUNCTION("""COMPUTED_VALUE"""),320.0)</f>
        <v>320</v>
      </c>
      <c r="E238" s="2">
        <f>IFERROR(__xludf.DUMMYFUNCTION("""COMPUTED_VALUE"""),325.28)</f>
        <v>325.28</v>
      </c>
      <c r="F238" s="2">
        <f>IFERROR(__xludf.DUMMYFUNCTION("""COMPUTED_VALUE"""),2.5802462E7)</f>
        <v>25802462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IFERROR(__xludf.DUMMYFUNCTION("""COMPUTED_VALUE"""),324.6)</f>
        <v>324.6</v>
      </c>
      <c r="C239" s="2">
        <f>IFERROR(__xludf.DUMMYFUNCTION("""COMPUTED_VALUE"""),334.47)</f>
        <v>334.47</v>
      </c>
      <c r="D239" s="2">
        <f>IFERROR(__xludf.DUMMYFUNCTION("""COMPUTED_VALUE"""),324.56)</f>
        <v>324.56</v>
      </c>
      <c r="E239" s="2">
        <f>IFERROR(__xludf.DUMMYFUNCTION("""COMPUTED_VALUE"""),334.22)</f>
        <v>334.22</v>
      </c>
      <c r="F239" s="2">
        <f>IFERROR(__xludf.DUMMYFUNCTION("""COMPUTED_VALUE"""),1.8485461E7)</f>
        <v>18485461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IFERROR(__xludf.DUMMYFUNCTION("""COMPUTED_VALUE"""),333.93)</f>
        <v>333.93</v>
      </c>
      <c r="C240" s="2">
        <f>IFERROR(__xludf.DUMMYFUNCTION("""COMPUTED_VALUE"""),338.37)</f>
        <v>338.37</v>
      </c>
      <c r="D240" s="2">
        <f>IFERROR(__xludf.DUMMYFUNCTION("""COMPUTED_VALUE"""),332.64)</f>
        <v>332.64</v>
      </c>
      <c r="E240" s="2">
        <f>IFERROR(__xludf.DUMMYFUNCTION("""COMPUTED_VALUE"""),334.74)</f>
        <v>334.74</v>
      </c>
      <c r="F240" s="2">
        <f>IFERROR(__xludf.DUMMYFUNCTION("""COMPUTED_VALUE"""),1.6353321E7)</f>
        <v>16353321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IFERROR(__xludf.DUMMYFUNCTION("""COMPUTED_VALUE"""),333.85)</f>
        <v>333.85</v>
      </c>
      <c r="C241" s="2">
        <f>IFERROR(__xludf.DUMMYFUNCTION("""COMPUTED_VALUE"""),334.7)</f>
        <v>334.7</v>
      </c>
      <c r="D241" s="2">
        <f>IFERROR(__xludf.DUMMYFUNCTION("""COMPUTED_VALUE"""),328.64)</f>
        <v>328.64</v>
      </c>
      <c r="E241" s="2">
        <f>IFERROR(__xludf.DUMMYFUNCTION("""COMPUTED_VALUE"""),333.17)</f>
        <v>333.17</v>
      </c>
      <c r="F241" s="2">
        <f>IFERROR(__xludf.DUMMYFUNCTION("""COMPUTED_VALUE"""),1.9607335E7)</f>
        <v>19607335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IFERROR(__xludf.DUMMYFUNCTION("""COMPUTED_VALUE"""),331.99)</f>
        <v>331.99</v>
      </c>
      <c r="C242" s="2">
        <f>IFERROR(__xludf.DUMMYFUNCTION("""COMPUTED_VALUE"""),338.66)</f>
        <v>338.66</v>
      </c>
      <c r="D242" s="2">
        <f>IFERROR(__xludf.DUMMYFUNCTION("""COMPUTED_VALUE"""),331.22)</f>
        <v>331.22</v>
      </c>
      <c r="E242" s="2">
        <f>IFERROR(__xludf.DUMMYFUNCTION("""COMPUTED_VALUE"""),334.92)</f>
        <v>334.92</v>
      </c>
      <c r="F242" s="2">
        <f>IFERROR(__xludf.DUMMYFUNCTION("""COMPUTED_VALUE"""),3.1776852E7)</f>
        <v>31776852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IFERROR(__xludf.DUMMYFUNCTION("""COMPUTED_VALUE"""),337.48)</f>
        <v>337.48</v>
      </c>
      <c r="C243" s="2">
        <f>IFERROR(__xludf.DUMMYFUNCTION("""COMPUTED_VALUE"""),347.56)</f>
        <v>347.56</v>
      </c>
      <c r="D243" s="2">
        <f>IFERROR(__xludf.DUMMYFUNCTION("""COMPUTED_VALUE"""),337.02)</f>
        <v>337.02</v>
      </c>
      <c r="E243" s="2">
        <f>IFERROR(__xludf.DUMMYFUNCTION("""COMPUTED_VALUE"""),344.62)</f>
        <v>344.62</v>
      </c>
      <c r="F243" s="2">
        <f>IFERROR(__xludf.DUMMYFUNCTION("""COMPUTED_VALUE"""),1.8993852E7)</f>
        <v>18993852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IFERROR(__xludf.DUMMYFUNCTION("""COMPUTED_VALUE"""),345.58)</f>
        <v>345.58</v>
      </c>
      <c r="C244" s="2">
        <f>IFERROR(__xludf.DUMMYFUNCTION("""COMPUTED_VALUE"""),353.6)</f>
        <v>353.6</v>
      </c>
      <c r="D244" s="2">
        <f>IFERROR(__xludf.DUMMYFUNCTION("""COMPUTED_VALUE"""),345.12)</f>
        <v>345.12</v>
      </c>
      <c r="E244" s="2">
        <f>IFERROR(__xludf.DUMMYFUNCTION("""COMPUTED_VALUE"""),350.36)</f>
        <v>350.36</v>
      </c>
      <c r="F244" s="2">
        <f>IFERROR(__xludf.DUMMYFUNCTION("""COMPUTED_VALUE"""),1.7729362E7)</f>
        <v>17729362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IFERROR(__xludf.DUMMYFUNCTION("""COMPUTED_VALUE"""),348.65)</f>
        <v>348.65</v>
      </c>
      <c r="C245" s="2">
        <f>IFERROR(__xludf.DUMMYFUNCTION("""COMPUTED_VALUE"""),354.96)</f>
        <v>354.96</v>
      </c>
      <c r="D245" s="2">
        <f>IFERROR(__xludf.DUMMYFUNCTION("""COMPUTED_VALUE"""),347.79)</f>
        <v>347.79</v>
      </c>
      <c r="E245" s="2">
        <f>IFERROR(__xludf.DUMMYFUNCTION("""COMPUTED_VALUE"""),349.28)</f>
        <v>349.28</v>
      </c>
      <c r="F245" s="2">
        <f>IFERROR(__xludf.DUMMYFUNCTION("""COMPUTED_VALUE"""),1.636985E7)</f>
        <v>16369850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IFERROR(__xludf.DUMMYFUNCTION("""COMPUTED_VALUE"""),352.98)</f>
        <v>352.98</v>
      </c>
      <c r="C246" s="2">
        <f>IFERROR(__xludf.DUMMYFUNCTION("""COMPUTED_VALUE"""),356.41)</f>
        <v>356.41</v>
      </c>
      <c r="D246" s="2">
        <f>IFERROR(__xludf.DUMMYFUNCTION("""COMPUTED_VALUE"""),349.21)</f>
        <v>349.21</v>
      </c>
      <c r="E246" s="2">
        <f>IFERROR(__xludf.DUMMYFUNCTION("""COMPUTED_VALUE"""),354.09)</f>
        <v>354.09</v>
      </c>
      <c r="F246" s="2">
        <f>IFERROR(__xludf.DUMMYFUNCTION("""COMPUTED_VALUE"""),1.5289556E7)</f>
        <v>15289556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IFERROR(__xludf.DUMMYFUNCTION("""COMPUTED_VALUE"""),355.58)</f>
        <v>355.58</v>
      </c>
      <c r="C247" s="2">
        <f>IFERROR(__xludf.DUMMYFUNCTION("""COMPUTED_VALUE"""),357.2)</f>
        <v>357.2</v>
      </c>
      <c r="D247" s="2">
        <f>IFERROR(__xludf.DUMMYFUNCTION("""COMPUTED_VALUE"""),351.22)</f>
        <v>351.22</v>
      </c>
      <c r="E247" s="2">
        <f>IFERROR(__xludf.DUMMYFUNCTION("""COMPUTED_VALUE"""),353.39)</f>
        <v>353.39</v>
      </c>
      <c r="F247" s="2">
        <f>IFERROR(__xludf.DUMMYFUNCTION("""COMPUTED_VALUE"""),1.1772779E7)</f>
        <v>11772779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IFERROR(__xludf.DUMMYFUNCTION("""COMPUTED_VALUE"""),354.99)</f>
        <v>354.99</v>
      </c>
      <c r="C248" s="2">
        <f>IFERROR(__xludf.DUMMYFUNCTION("""COMPUTED_VALUE"""),356.98)</f>
        <v>356.98</v>
      </c>
      <c r="D248" s="2">
        <f>IFERROR(__xludf.DUMMYFUNCTION("""COMPUTED_VALUE"""),353.45)</f>
        <v>353.45</v>
      </c>
      <c r="E248" s="2">
        <f>IFERROR(__xludf.DUMMYFUNCTION("""COMPUTED_VALUE"""),354.83)</f>
        <v>354.83</v>
      </c>
      <c r="F248" s="2">
        <f>IFERROR(__xludf.DUMMYFUNCTION("""COMPUTED_VALUE"""),9898614.0)</f>
        <v>9898614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IFERROR(__xludf.DUMMYFUNCTION("""COMPUTED_VALUE"""),356.07)</f>
        <v>356.07</v>
      </c>
      <c r="C249" s="2">
        <f>IFERROR(__xludf.DUMMYFUNCTION("""COMPUTED_VALUE"""),359.0)</f>
        <v>359</v>
      </c>
      <c r="D249" s="2">
        <f>IFERROR(__xludf.DUMMYFUNCTION("""COMPUTED_VALUE"""),355.31)</f>
        <v>355.31</v>
      </c>
      <c r="E249" s="2">
        <f>IFERROR(__xludf.DUMMYFUNCTION("""COMPUTED_VALUE"""),357.83)</f>
        <v>357.83</v>
      </c>
      <c r="F249" s="2">
        <f>IFERROR(__xludf.DUMMYFUNCTION("""COMPUTED_VALUE"""),1.3207928E7)</f>
        <v>13207928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IFERROR(__xludf.DUMMYFUNCTION("""COMPUTED_VALUE"""),359.7)</f>
        <v>359.7</v>
      </c>
      <c r="C250" s="2">
        <f>IFERROR(__xludf.DUMMYFUNCTION("""COMPUTED_VALUE"""),361.9)</f>
        <v>361.9</v>
      </c>
      <c r="D250" s="2">
        <f>IFERROR(__xludf.DUMMYFUNCTION("""COMPUTED_VALUE"""),357.81)</f>
        <v>357.81</v>
      </c>
      <c r="E250" s="2">
        <f>IFERROR(__xludf.DUMMYFUNCTION("""COMPUTED_VALUE"""),358.32)</f>
        <v>358.32</v>
      </c>
      <c r="F250" s="2">
        <f>IFERROR(__xludf.DUMMYFUNCTION("""COMPUTED_VALUE"""),1.1798807E7)</f>
        <v>11798807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IFERROR(__xludf.DUMMYFUNCTION("""COMPUTED_VALUE"""),358.99)</f>
        <v>358.99</v>
      </c>
      <c r="C251" s="2">
        <f>IFERROR(__xludf.DUMMYFUNCTION("""COMPUTED_VALUE"""),360.0)</f>
        <v>360</v>
      </c>
      <c r="D251" s="2">
        <f>IFERROR(__xludf.DUMMYFUNCTION("""COMPUTED_VALUE"""),351.82)</f>
        <v>351.82</v>
      </c>
      <c r="E251" s="2">
        <f>IFERROR(__xludf.DUMMYFUNCTION("""COMPUTED_VALUE"""),353.96)</f>
        <v>353.96</v>
      </c>
      <c r="F251" s="2">
        <f>IFERROR(__xludf.DUMMYFUNCTION("""COMPUTED_VALUE"""),1.4987092E7)</f>
        <v>14987092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IFERROR(__xludf.DUMMYFUNCTION("""COMPUTED_VALUE"""),351.32)</f>
        <v>351.32</v>
      </c>
      <c r="C252" s="2">
        <f>IFERROR(__xludf.DUMMYFUNCTION("""COMPUTED_VALUE"""),353.16)</f>
        <v>353.16</v>
      </c>
      <c r="D252" s="2">
        <f>IFERROR(__xludf.DUMMYFUNCTION("""COMPUTED_VALUE"""),340.01)</f>
        <v>340.01</v>
      </c>
      <c r="E252" s="2">
        <f>IFERROR(__xludf.DUMMYFUNCTION("""COMPUTED_VALUE"""),346.29)</f>
        <v>346.29</v>
      </c>
      <c r="F252" s="2">
        <f>IFERROR(__xludf.DUMMYFUNCTION("""COMPUTED_VALUE"""),1.9042152E7)</f>
        <v>19042152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IFERROR(__xludf.DUMMYFUNCTION("""COMPUTED_VALUE"""),344.98)</f>
        <v>344.98</v>
      </c>
      <c r="C253" s="2">
        <f>IFERROR(__xludf.DUMMYFUNCTION("""COMPUTED_VALUE"""),347.95)</f>
        <v>347.95</v>
      </c>
      <c r="D253" s="2">
        <f>IFERROR(__xludf.DUMMYFUNCTION("""COMPUTED_VALUE"""),343.18)</f>
        <v>343.18</v>
      </c>
      <c r="E253" s="2">
        <f>IFERROR(__xludf.DUMMYFUNCTION("""COMPUTED_VALUE"""),344.47)</f>
        <v>344.47</v>
      </c>
      <c r="F253" s="2">
        <f>IFERROR(__xludf.DUMMYFUNCTION("""COMPUTED_VALUE"""),1.5451133E7)</f>
        <v>15451133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IFERROR(__xludf.DUMMYFUNCTION("""COMPUTED_VALUE"""),344.5)</f>
        <v>344.5</v>
      </c>
      <c r="C254" s="2">
        <f>IFERROR(__xludf.DUMMYFUNCTION("""COMPUTED_VALUE"""),348.15)</f>
        <v>348.15</v>
      </c>
      <c r="D254" s="2">
        <f>IFERROR(__xludf.DUMMYFUNCTION("""COMPUTED_VALUE"""),343.4)</f>
        <v>343.4</v>
      </c>
      <c r="E254" s="2">
        <f>IFERROR(__xludf.DUMMYFUNCTION("""COMPUTED_VALUE"""),347.12)</f>
        <v>347.12</v>
      </c>
      <c r="F254" s="2">
        <f>IFERROR(__xludf.DUMMYFUNCTION("""COMPUTED_VALUE"""),1.2099895E7)</f>
        <v>12099895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IFERROR(__xludf.DUMMYFUNCTION("""COMPUTED_VALUE"""),346.99)</f>
        <v>346.99</v>
      </c>
      <c r="C255" s="2">
        <f>IFERROR(__xludf.DUMMYFUNCTION("""COMPUTED_VALUE"""),353.5)</f>
        <v>353.5</v>
      </c>
      <c r="D255" s="2">
        <f>IFERROR(__xludf.DUMMYFUNCTION("""COMPUTED_VALUE"""),346.26)</f>
        <v>346.26</v>
      </c>
      <c r="E255" s="2">
        <f>IFERROR(__xludf.DUMMYFUNCTION("""COMPUTED_VALUE"""),351.95)</f>
        <v>351.95</v>
      </c>
      <c r="F255" s="2">
        <f>IFERROR(__xludf.DUMMYFUNCTION("""COMPUTED_VALUE"""),1.3750912E7)</f>
        <v>13750912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IFERROR(__xludf.DUMMYFUNCTION("""COMPUTED_VALUE"""),354.7)</f>
        <v>354.7</v>
      </c>
      <c r="C256" s="2">
        <f>IFERROR(__xludf.DUMMYFUNCTION("""COMPUTED_VALUE"""),358.98)</f>
        <v>358.98</v>
      </c>
      <c r="D256" s="2">
        <f>IFERROR(__xludf.DUMMYFUNCTION("""COMPUTED_VALUE"""),352.05)</f>
        <v>352.05</v>
      </c>
      <c r="E256" s="2">
        <f>IFERROR(__xludf.DUMMYFUNCTION("""COMPUTED_VALUE"""),358.66)</f>
        <v>358.66</v>
      </c>
      <c r="F256" s="2">
        <f>IFERROR(__xludf.DUMMYFUNCTION("""COMPUTED_VALUE"""),1.3890222E7)</f>
        <v>13890222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IFERROR(__xludf.DUMMYFUNCTION("""COMPUTED_VALUE"""),356.4)</f>
        <v>356.4</v>
      </c>
      <c r="C257" s="2">
        <f>IFERROR(__xludf.DUMMYFUNCTION("""COMPUTED_VALUE"""),360.64)</f>
        <v>360.64</v>
      </c>
      <c r="D257" s="2">
        <f>IFERROR(__xludf.DUMMYFUNCTION("""COMPUTED_VALUE"""),355.36)</f>
        <v>355.36</v>
      </c>
      <c r="E257" s="2">
        <f>IFERROR(__xludf.DUMMYFUNCTION("""COMPUTED_VALUE"""),357.43)</f>
        <v>357.43</v>
      </c>
      <c r="F257" s="2">
        <f>IFERROR(__xludf.DUMMYFUNCTION("""COMPUTED_VALUE"""),1.3463871E7)</f>
        <v>13463871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IFERROR(__xludf.DUMMYFUNCTION("""COMPUTED_VALUE"""),360.17)</f>
        <v>360.17</v>
      </c>
      <c r="C258" s="2">
        <f>IFERROR(__xludf.DUMMYFUNCTION("""COMPUTED_VALUE"""),372.94)</f>
        <v>372.94</v>
      </c>
      <c r="D258" s="2">
        <f>IFERROR(__xludf.DUMMYFUNCTION("""COMPUTED_VALUE"""),359.08)</f>
        <v>359.08</v>
      </c>
      <c r="E258" s="2">
        <f>IFERROR(__xludf.DUMMYFUNCTION("""COMPUTED_VALUE"""),370.47)</f>
        <v>370.47</v>
      </c>
      <c r="F258" s="2">
        <f>IFERROR(__xludf.DUMMYFUNCTION("""COMPUTED_VALUE"""),2.2117206E7)</f>
        <v>22117206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IFERROR(__xludf.DUMMYFUNCTION("""COMPUTED_VALUE"""),372.13)</f>
        <v>372.13</v>
      </c>
      <c r="C259" s="2">
        <f>IFERROR(__xludf.DUMMYFUNCTION("""COMPUTED_VALUE"""),372.78)</f>
        <v>372.78</v>
      </c>
      <c r="D259" s="2">
        <f>IFERROR(__xludf.DUMMYFUNCTION("""COMPUTED_VALUE"""),362.93)</f>
        <v>362.93</v>
      </c>
      <c r="E259" s="2">
        <f>IFERROR(__xludf.DUMMYFUNCTION("""COMPUTED_VALUE"""),369.67)</f>
        <v>369.67</v>
      </c>
      <c r="F259" s="2">
        <f>IFERROR(__xludf.DUMMYFUNCTION("""COMPUTED_VALUE"""),1.7205385E7)</f>
        <v>17205385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IFERROR(__xludf.DUMMYFUNCTION("""COMPUTED_VALUE"""),370.16)</f>
        <v>370.16</v>
      </c>
      <c r="C260" s="2">
        <f>IFERROR(__xludf.DUMMYFUNCTION("""COMPUTED_VALUE"""),377.06)</f>
        <v>377.06</v>
      </c>
      <c r="D260" s="2">
        <f>IFERROR(__xludf.DUMMYFUNCTION("""COMPUTED_VALUE"""),369.54)</f>
        <v>369.54</v>
      </c>
      <c r="E260" s="2">
        <f>IFERROR(__xludf.DUMMYFUNCTION("""COMPUTED_VALUE"""),374.49)</f>
        <v>374.49</v>
      </c>
      <c r="F260" s="2">
        <f>IFERROR(__xludf.DUMMYFUNCTION("""COMPUTED_VALUE"""),1.9310046E7)</f>
        <v>19310046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IFERROR(__xludf.DUMMYFUNCTION("""COMPUTED_VALUE"""),373.65)</f>
        <v>373.65</v>
      </c>
      <c r="C261" s="2">
        <f>IFERROR(__xludf.DUMMYFUNCTION("""COMPUTED_VALUE"""),375.61)</f>
        <v>375.61</v>
      </c>
      <c r="D261" s="2">
        <f>IFERROR(__xludf.DUMMYFUNCTION("""COMPUTED_VALUE"""),367.23)</f>
        <v>367.23</v>
      </c>
      <c r="E261" s="2">
        <f>IFERROR(__xludf.DUMMYFUNCTION("""COMPUTED_VALUE"""),367.46)</f>
        <v>367.46</v>
      </c>
      <c r="F261" s="2">
        <f>IFERROR(__xludf.DUMMYFUNCTION("""COMPUTED_VALUE"""),1.5306885E7)</f>
        <v>15306885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IFERROR(__xludf.DUMMYFUNCTION("""COMPUTED_VALUE"""),366.3)</f>
        <v>366.3</v>
      </c>
      <c r="C262" s="2">
        <f>IFERROR(__xludf.DUMMYFUNCTION("""COMPUTED_VALUE"""),368.54)</f>
        <v>368.54</v>
      </c>
      <c r="D262" s="2">
        <f>IFERROR(__xludf.DUMMYFUNCTION("""COMPUTED_VALUE"""),358.61)</f>
        <v>358.61</v>
      </c>
      <c r="E262" s="2">
        <f>IFERROR(__xludf.DUMMYFUNCTION("""COMPUTED_VALUE"""),368.37)</f>
        <v>368.37</v>
      </c>
      <c r="F262" s="2">
        <f>IFERROR(__xludf.DUMMYFUNCTION("""COMPUTED_VALUE"""),1.2724779E7)</f>
        <v>12724779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IFERROR(__xludf.DUMMYFUNCTION("""COMPUTED_VALUE"""),371.49)</f>
        <v>371.49</v>
      </c>
      <c r="C263" s="2">
        <f>IFERROR(__xludf.DUMMYFUNCTION("""COMPUTED_VALUE"""),376.85)</f>
        <v>376.85</v>
      </c>
      <c r="D263" s="2">
        <f>IFERROR(__xludf.DUMMYFUNCTION("""COMPUTED_VALUE"""),370.95)</f>
        <v>370.95</v>
      </c>
      <c r="E263" s="2">
        <f>IFERROR(__xludf.DUMMYFUNCTION("""COMPUTED_VALUE"""),376.13)</f>
        <v>376.13</v>
      </c>
      <c r="F263" s="2">
        <f>IFERROR(__xludf.DUMMYFUNCTION("""COMPUTED_VALUE"""),1.6354332E7)</f>
        <v>16354332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IFERROR(__xludf.DUMMYFUNCTION("""COMPUTED_VALUE"""),379.0)</f>
        <v>379</v>
      </c>
      <c r="C264" s="2">
        <f>IFERROR(__xludf.DUMMYFUNCTION("""COMPUTED_VALUE"""),384.36)</f>
        <v>384.36</v>
      </c>
      <c r="D264" s="2">
        <f>IFERROR(__xludf.DUMMYFUNCTION("""COMPUTED_VALUE"""),377.97)</f>
        <v>377.97</v>
      </c>
      <c r="E264" s="2">
        <f>IFERROR(__xludf.DUMMYFUNCTION("""COMPUTED_VALUE"""),383.45)</f>
        <v>383.45</v>
      </c>
      <c r="F264" s="2">
        <f>IFERROR(__xludf.DUMMYFUNCTION("""COMPUTED_VALUE"""),2.1670806E7)</f>
        <v>21670806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IFERROR(__xludf.DUMMYFUNCTION("""COMPUTED_VALUE"""),387.95)</f>
        <v>387.95</v>
      </c>
      <c r="C265" s="2">
        <f>IFERROR(__xludf.DUMMYFUNCTION("""COMPUTED_VALUE"""),390.35)</f>
        <v>390.35</v>
      </c>
      <c r="D265" s="2">
        <f>IFERROR(__xludf.DUMMYFUNCTION("""COMPUTED_VALUE"""),381.16)</f>
        <v>381.16</v>
      </c>
      <c r="E265" s="2">
        <f>IFERROR(__xludf.DUMMYFUNCTION("""COMPUTED_VALUE"""),381.78)</f>
        <v>381.78</v>
      </c>
      <c r="F265" s="2">
        <f>IFERROR(__xludf.DUMMYFUNCTION("""COMPUTED_VALUE"""),1.7680454E7)</f>
        <v>17680454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IFERROR(__xludf.DUMMYFUNCTION("""COMPUTED_VALUE"""),384.62)</f>
        <v>384.62</v>
      </c>
      <c r="C266" s="2">
        <f>IFERROR(__xludf.DUMMYFUNCTION("""COMPUTED_VALUE"""),388.38)</f>
        <v>388.38</v>
      </c>
      <c r="D266" s="2">
        <f>IFERROR(__xludf.DUMMYFUNCTION("""COMPUTED_VALUE"""),382.08)</f>
        <v>382.08</v>
      </c>
      <c r="E266" s="2">
        <f>IFERROR(__xludf.DUMMYFUNCTION("""COMPUTED_VALUE"""),385.2)</f>
        <v>385.2</v>
      </c>
      <c r="F266" s="2">
        <f>IFERROR(__xludf.DUMMYFUNCTION("""COMPUTED_VALUE"""),1.5506096E7)</f>
        <v>15506096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IFERROR(__xludf.DUMMYFUNCTION("""COMPUTED_VALUE"""),390.0)</f>
        <v>390</v>
      </c>
      <c r="C267" s="2">
        <f>IFERROR(__xludf.DUMMYFUNCTION("""COMPUTED_VALUE"""),396.15)</f>
        <v>396.15</v>
      </c>
      <c r="D267" s="2">
        <f>IFERROR(__xludf.DUMMYFUNCTION("""COMPUTED_VALUE"""),387.81)</f>
        <v>387.81</v>
      </c>
      <c r="E267" s="2">
        <f>IFERROR(__xludf.DUMMYFUNCTION("""COMPUTED_VALUE"""),390.7)</f>
        <v>390.7</v>
      </c>
      <c r="F267" s="2">
        <f>IFERROR(__xludf.DUMMYFUNCTION("""COMPUTED_VALUE"""),1.5604285E7)</f>
        <v>15604285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IFERROR(__xludf.DUMMYFUNCTION("""COMPUTED_VALUE"""),390.17)</f>
        <v>390.17</v>
      </c>
      <c r="C268" s="2">
        <f>IFERROR(__xludf.DUMMYFUNCTION("""COMPUTED_VALUE"""),395.49)</f>
        <v>395.49</v>
      </c>
      <c r="D268" s="2">
        <f>IFERROR(__xludf.DUMMYFUNCTION("""COMPUTED_VALUE"""),385.66)</f>
        <v>385.66</v>
      </c>
      <c r="E268" s="2">
        <f>IFERROR(__xludf.DUMMYFUNCTION("""COMPUTED_VALUE"""),393.18)</f>
        <v>393.18</v>
      </c>
      <c r="F268" s="2">
        <f>IFERROR(__xludf.DUMMYFUNCTION("""COMPUTED_VALUE"""),1.509108E7)</f>
        <v>15091080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IFERROR(__xludf.DUMMYFUNCTION("""COMPUTED_VALUE"""),394.35)</f>
        <v>394.35</v>
      </c>
      <c r="C269" s="2">
        <f>IFERROR(__xludf.DUMMYFUNCTION("""COMPUTED_VALUE"""),396.79)</f>
        <v>396.79</v>
      </c>
      <c r="D269" s="2">
        <f>IFERROR(__xludf.DUMMYFUNCTION("""COMPUTED_VALUE"""),391.59)</f>
        <v>391.59</v>
      </c>
      <c r="E269" s="2">
        <f>IFERROR(__xludf.DUMMYFUNCTION("""COMPUTED_VALUE"""),394.14)</f>
        <v>394.14</v>
      </c>
      <c r="F269" s="2">
        <f>IFERROR(__xludf.DUMMYFUNCTION("""COMPUTED_VALUE"""),1.315929E7)</f>
        <v>13159290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IFERROR(__xludf.DUMMYFUNCTION("""COMPUTED_VALUE"""),394.99)</f>
        <v>394.99</v>
      </c>
      <c r="C270" s="2">
        <f>IFERROR(__xludf.DUMMYFUNCTION("""COMPUTED_VALUE"""),402.93)</f>
        <v>402.93</v>
      </c>
      <c r="D270" s="2">
        <f>IFERROR(__xludf.DUMMYFUNCTION("""COMPUTED_VALUE"""),393.1)</f>
        <v>393.1</v>
      </c>
      <c r="E270" s="2">
        <f>IFERROR(__xludf.DUMMYFUNCTION("""COMPUTED_VALUE"""),401.02)</f>
        <v>401.02</v>
      </c>
      <c r="F270" s="2">
        <f>IFERROR(__xludf.DUMMYFUNCTION("""COMPUTED_VALUE"""),1.8742433E7)</f>
        <v>18742433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IFERROR(__xludf.DUMMYFUNCTION("""COMPUTED_VALUE"""),403.59)</f>
        <v>403.59</v>
      </c>
      <c r="C271" s="2">
        <f>IFERROR(__xludf.DUMMYFUNCTION("""COMPUTED_VALUE"""),406.36)</f>
        <v>406.36</v>
      </c>
      <c r="D271" s="2">
        <f>IFERROR(__xludf.DUMMYFUNCTION("""COMPUTED_VALUE"""),399.57)</f>
        <v>399.57</v>
      </c>
      <c r="E271" s="2">
        <f>IFERROR(__xludf.DUMMYFUNCTION("""COMPUTED_VALUE"""),400.06)</f>
        <v>400.06</v>
      </c>
      <c r="F271" s="2">
        <f>IFERROR(__xludf.DUMMYFUNCTION("""COMPUTED_VALUE"""),1.8614727E7)</f>
        <v>18614727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IFERROR(__xludf.DUMMYFUNCTION("""COMPUTED_VALUE"""),389.0)</f>
        <v>389</v>
      </c>
      <c r="C272" s="2">
        <f>IFERROR(__xludf.DUMMYFUNCTION("""COMPUTED_VALUE"""),398.0)</f>
        <v>398</v>
      </c>
      <c r="D272" s="2">
        <f>IFERROR(__xludf.DUMMYFUNCTION("""COMPUTED_VALUE"""),387.1)</f>
        <v>387.1</v>
      </c>
      <c r="E272" s="2">
        <f>IFERROR(__xludf.DUMMYFUNCTION("""COMPUTED_VALUE"""),390.14)</f>
        <v>390.14</v>
      </c>
      <c r="F272" s="2">
        <f>IFERROR(__xludf.DUMMYFUNCTION("""COMPUTED_VALUE"""),2.0180817E7)</f>
        <v>20180817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IFERROR(__xludf.DUMMYFUNCTION("""COMPUTED_VALUE"""),393.94)</f>
        <v>393.94</v>
      </c>
      <c r="C273" s="2">
        <f>IFERROR(__xludf.DUMMYFUNCTION("""COMPUTED_VALUE"""),400.5)</f>
        <v>400.5</v>
      </c>
      <c r="D273" s="2">
        <f>IFERROR(__xludf.DUMMYFUNCTION("""COMPUTED_VALUE"""),393.05)</f>
        <v>393.05</v>
      </c>
      <c r="E273" s="2">
        <f>IFERROR(__xludf.DUMMYFUNCTION("""COMPUTED_VALUE"""),394.78)</f>
        <v>394.78</v>
      </c>
      <c r="F273" s="2">
        <f>IFERROR(__xludf.DUMMYFUNCTION("""COMPUTED_VALUE"""),2.9727051E7)</f>
        <v>29727051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IFERROR(__xludf.DUMMYFUNCTION("""COMPUTED_VALUE"""),459.6)</f>
        <v>459.6</v>
      </c>
      <c r="C274" s="2">
        <f>IFERROR(__xludf.DUMMYFUNCTION("""COMPUTED_VALUE"""),485.96)</f>
        <v>485.96</v>
      </c>
      <c r="D274" s="2">
        <f>IFERROR(__xludf.DUMMYFUNCTION("""COMPUTED_VALUE"""),453.01)</f>
        <v>453.01</v>
      </c>
      <c r="E274" s="2">
        <f>IFERROR(__xludf.DUMMYFUNCTION("""COMPUTED_VALUE"""),474.99)</f>
        <v>474.99</v>
      </c>
      <c r="F274" s="2">
        <f>IFERROR(__xludf.DUMMYFUNCTION("""COMPUTED_VALUE"""),8.4707646E7)</f>
        <v>84707646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IFERROR(__xludf.DUMMYFUNCTION("""COMPUTED_VALUE"""),469.88)</f>
        <v>469.88</v>
      </c>
      <c r="C275" s="2">
        <f>IFERROR(__xludf.DUMMYFUNCTION("""COMPUTED_VALUE"""),471.9)</f>
        <v>471.9</v>
      </c>
      <c r="D275" s="2">
        <f>IFERROR(__xludf.DUMMYFUNCTION("""COMPUTED_VALUE"""),459.22)</f>
        <v>459.22</v>
      </c>
      <c r="E275" s="2">
        <f>IFERROR(__xludf.DUMMYFUNCTION("""COMPUTED_VALUE"""),459.41)</f>
        <v>459.41</v>
      </c>
      <c r="F275" s="2">
        <f>IFERROR(__xludf.DUMMYFUNCTION("""COMPUTED_VALUE"""),4.0832376E7)</f>
        <v>40832376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IFERROR(__xludf.DUMMYFUNCTION("""COMPUTED_VALUE"""),464.0)</f>
        <v>464</v>
      </c>
      <c r="C276" s="2">
        <f>IFERROR(__xludf.DUMMYFUNCTION("""COMPUTED_VALUE"""),467.12)</f>
        <v>467.12</v>
      </c>
      <c r="D276" s="2">
        <f>IFERROR(__xludf.DUMMYFUNCTION("""COMPUTED_VALUE"""),453.0)</f>
        <v>453</v>
      </c>
      <c r="E276" s="2">
        <f>IFERROR(__xludf.DUMMYFUNCTION("""COMPUTED_VALUE"""),454.72)</f>
        <v>454.72</v>
      </c>
      <c r="F276" s="2">
        <f>IFERROR(__xludf.DUMMYFUNCTION("""COMPUTED_VALUE"""),2.1655214E7)</f>
        <v>21655214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IFERROR(__xludf.DUMMYFUNCTION("""COMPUTED_VALUE"""),458.0)</f>
        <v>458</v>
      </c>
      <c r="C277" s="2">
        <f>IFERROR(__xludf.DUMMYFUNCTION("""COMPUTED_VALUE"""),471.52)</f>
        <v>471.52</v>
      </c>
      <c r="D277" s="2">
        <f>IFERROR(__xludf.DUMMYFUNCTION("""COMPUTED_VALUE"""),456.18)</f>
        <v>456.18</v>
      </c>
      <c r="E277" s="2">
        <f>IFERROR(__xludf.DUMMYFUNCTION("""COMPUTED_VALUE"""),469.59)</f>
        <v>469.59</v>
      </c>
      <c r="F277" s="2">
        <f>IFERROR(__xludf.DUMMYFUNCTION("""COMPUTED_VALUE"""),2.3065994E7)</f>
        <v>23065994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IFERROR(__xludf.DUMMYFUNCTION("""COMPUTED_VALUE"""),468.32)</f>
        <v>468.32</v>
      </c>
      <c r="C278" s="2">
        <f>IFERROR(__xludf.DUMMYFUNCTION("""COMPUTED_VALUE"""),470.59)</f>
        <v>470.59</v>
      </c>
      <c r="D278" s="2">
        <f>IFERROR(__xludf.DUMMYFUNCTION("""COMPUTED_VALUE"""),465.03)</f>
        <v>465.03</v>
      </c>
      <c r="E278" s="2">
        <f>IFERROR(__xludf.DUMMYFUNCTION("""COMPUTED_VALUE"""),470.0)</f>
        <v>470</v>
      </c>
      <c r="F278" s="2">
        <f>IFERROR(__xludf.DUMMYFUNCTION("""COMPUTED_VALUE"""),1.8815097E7)</f>
        <v>18815097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IFERROR(__xludf.DUMMYFUNCTION("""COMPUTED_VALUE"""),472.95)</f>
        <v>472.95</v>
      </c>
      <c r="C279" s="2">
        <f>IFERROR(__xludf.DUMMYFUNCTION("""COMPUTED_VALUE"""),473.59)</f>
        <v>473.59</v>
      </c>
      <c r="D279" s="2">
        <f>IFERROR(__xludf.DUMMYFUNCTION("""COMPUTED_VALUE"""),467.47)</f>
        <v>467.47</v>
      </c>
      <c r="E279" s="2">
        <f>IFERROR(__xludf.DUMMYFUNCTION("""COMPUTED_VALUE"""),468.11)</f>
        <v>468.11</v>
      </c>
      <c r="F279" s="2">
        <f>IFERROR(__xludf.DUMMYFUNCTION("""COMPUTED_VALUE"""),1.8413137E7)</f>
        <v>18413137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IFERROR(__xludf.DUMMYFUNCTION("""COMPUTED_VALUE"""),468.19)</f>
        <v>468.19</v>
      </c>
      <c r="C280" s="2">
        <f>IFERROR(__xludf.DUMMYFUNCTION("""COMPUTED_VALUE"""),479.15)</f>
        <v>479.15</v>
      </c>
      <c r="D280" s="2">
        <f>IFERROR(__xludf.DUMMYFUNCTION("""COMPUTED_VALUE"""),466.58)</f>
        <v>466.58</v>
      </c>
      <c r="E280" s="2">
        <f>IFERROR(__xludf.DUMMYFUNCTION("""COMPUTED_VALUE"""),468.9)</f>
        <v>468.9</v>
      </c>
      <c r="F280" s="2">
        <f>IFERROR(__xludf.DUMMYFUNCTION("""COMPUTED_VALUE"""),1.9381963E7)</f>
        <v>19381963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IFERROR(__xludf.DUMMYFUNCTION("""COMPUTED_VALUE"""),456.87)</f>
        <v>456.87</v>
      </c>
      <c r="C281" s="2">
        <f>IFERROR(__xludf.DUMMYFUNCTION("""COMPUTED_VALUE"""),467.89)</f>
        <v>467.89</v>
      </c>
      <c r="D281" s="2">
        <f>IFERROR(__xludf.DUMMYFUNCTION("""COMPUTED_VALUE"""),455.09)</f>
        <v>455.09</v>
      </c>
      <c r="E281" s="2">
        <f>IFERROR(__xludf.DUMMYFUNCTION("""COMPUTED_VALUE"""),460.12)</f>
        <v>460.12</v>
      </c>
      <c r="F281" s="2">
        <f>IFERROR(__xludf.DUMMYFUNCTION("""COMPUTED_VALUE"""),2.0916602E7)</f>
        <v>20916602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IFERROR(__xludf.DUMMYFUNCTION("""COMPUTED_VALUE"""),467.93)</f>
        <v>467.93</v>
      </c>
      <c r="C282" s="2">
        <f>IFERROR(__xludf.DUMMYFUNCTION("""COMPUTED_VALUE"""),474.11)</f>
        <v>474.11</v>
      </c>
      <c r="D282" s="2">
        <f>IFERROR(__xludf.DUMMYFUNCTION("""COMPUTED_VALUE"""),466.09)</f>
        <v>466.09</v>
      </c>
      <c r="E282" s="2">
        <f>IFERROR(__xludf.DUMMYFUNCTION("""COMPUTED_VALUE"""),473.28)</f>
        <v>473.28</v>
      </c>
      <c r="F282" s="2">
        <f>IFERROR(__xludf.DUMMYFUNCTION("""COMPUTED_VALUE"""),1.6858401E7)</f>
        <v>16858401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IFERROR(__xludf.DUMMYFUNCTION("""COMPUTED_VALUE"""),475.28)</f>
        <v>475.28</v>
      </c>
      <c r="C283" s="2">
        <f>IFERROR(__xludf.DUMMYFUNCTION("""COMPUTED_VALUE"""),488.62)</f>
        <v>488.62</v>
      </c>
      <c r="D283" s="2">
        <f>IFERROR(__xludf.DUMMYFUNCTION("""COMPUTED_VALUE"""),472.22)</f>
        <v>472.22</v>
      </c>
      <c r="E283" s="2">
        <f>IFERROR(__xludf.DUMMYFUNCTION("""COMPUTED_VALUE"""),484.03)</f>
        <v>484.03</v>
      </c>
      <c r="F283" s="2">
        <f>IFERROR(__xludf.DUMMYFUNCTION("""COMPUTED_VALUE"""),2.4212326E7)</f>
        <v>24212326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IFERROR(__xludf.DUMMYFUNCTION("""COMPUTED_VALUE"""),478.11)</f>
        <v>478.11</v>
      </c>
      <c r="C284" s="2">
        <f>IFERROR(__xludf.DUMMYFUNCTION("""COMPUTED_VALUE"""),478.96)</f>
        <v>478.96</v>
      </c>
      <c r="D284" s="2">
        <f>IFERROR(__xludf.DUMMYFUNCTION("""COMPUTED_VALUE"""),469.21)</f>
        <v>469.21</v>
      </c>
      <c r="E284" s="2">
        <f>IFERROR(__xludf.DUMMYFUNCTION("""COMPUTED_VALUE"""),473.32)</f>
        <v>473.32</v>
      </c>
      <c r="F284" s="2">
        <f>IFERROR(__xludf.DUMMYFUNCTION("""COMPUTED_VALUE"""),2.332462E7)</f>
        <v>23324620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IFERROR(__xludf.DUMMYFUNCTION("""COMPUTED_VALUE"""),469.72)</f>
        <v>469.72</v>
      </c>
      <c r="C285" s="2">
        <f>IFERROR(__xludf.DUMMYFUNCTION("""COMPUTED_VALUE"""),476.18)</f>
        <v>476.18</v>
      </c>
      <c r="D285" s="2">
        <f>IFERROR(__xludf.DUMMYFUNCTION("""COMPUTED_VALUE"""),466.56)</f>
        <v>466.56</v>
      </c>
      <c r="E285" s="2">
        <f>IFERROR(__xludf.DUMMYFUNCTION("""COMPUTED_VALUE"""),471.75)</f>
        <v>471.75</v>
      </c>
      <c r="F285" s="2">
        <f>IFERROR(__xludf.DUMMYFUNCTION("""COMPUTED_VALUE"""),1.8015523E7)</f>
        <v>18015523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IFERROR(__xludf.DUMMYFUNCTION("""COMPUTED_VALUE"""),466.5)</f>
        <v>466.5</v>
      </c>
      <c r="C286" s="2">
        <f>IFERROR(__xludf.DUMMYFUNCTION("""COMPUTED_VALUE"""),469.0)</f>
        <v>469</v>
      </c>
      <c r="D286" s="2">
        <f>IFERROR(__xludf.DUMMYFUNCTION("""COMPUTED_VALUE"""),461.79)</f>
        <v>461.79</v>
      </c>
      <c r="E286" s="2">
        <f>IFERROR(__xludf.DUMMYFUNCTION("""COMPUTED_VALUE"""),468.03)</f>
        <v>468.03</v>
      </c>
      <c r="F286" s="2">
        <f>IFERROR(__xludf.DUMMYFUNCTION("""COMPUTED_VALUE"""),1.297705E7)</f>
        <v>12977050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IFERROR(__xludf.DUMMYFUNCTION("""COMPUTED_VALUE"""),480.24)</f>
        <v>480.24</v>
      </c>
      <c r="C287" s="2">
        <f>IFERROR(__xludf.DUMMYFUNCTION("""COMPUTED_VALUE"""),489.99)</f>
        <v>489.99</v>
      </c>
      <c r="D287" s="2">
        <f>IFERROR(__xludf.DUMMYFUNCTION("""COMPUTED_VALUE"""),476.06)</f>
        <v>476.06</v>
      </c>
      <c r="E287" s="2">
        <f>IFERROR(__xludf.DUMMYFUNCTION("""COMPUTED_VALUE"""),486.13)</f>
        <v>486.13</v>
      </c>
      <c r="F287" s="2">
        <f>IFERROR(__xludf.DUMMYFUNCTION("""COMPUTED_VALUE"""),2.1625805E7)</f>
        <v>21625805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IFERROR(__xludf.DUMMYFUNCTION("""COMPUTED_VALUE"""),488.05)</f>
        <v>488.05</v>
      </c>
      <c r="C288" s="2">
        <f>IFERROR(__xludf.DUMMYFUNCTION("""COMPUTED_VALUE"""),494.36)</f>
        <v>494.36</v>
      </c>
      <c r="D288" s="2">
        <f>IFERROR(__xludf.DUMMYFUNCTION("""COMPUTED_VALUE"""),482.35)</f>
        <v>482.35</v>
      </c>
      <c r="E288" s="2">
        <f>IFERROR(__xludf.DUMMYFUNCTION("""COMPUTED_VALUE"""),484.03)</f>
        <v>484.03</v>
      </c>
      <c r="F288" s="2">
        <f>IFERROR(__xludf.DUMMYFUNCTION("""COMPUTED_VALUE"""),1.8374286E7)</f>
        <v>18374286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IFERROR(__xludf.DUMMYFUNCTION("""COMPUTED_VALUE"""),483.47)</f>
        <v>483.47</v>
      </c>
      <c r="C289" s="2">
        <f>IFERROR(__xludf.DUMMYFUNCTION("""COMPUTED_VALUE"""),486.14)</f>
        <v>486.14</v>
      </c>
      <c r="D289" s="2">
        <f>IFERROR(__xludf.DUMMYFUNCTION("""COMPUTED_VALUE"""),480.6)</f>
        <v>480.6</v>
      </c>
      <c r="E289" s="2">
        <f>IFERROR(__xludf.DUMMYFUNCTION("""COMPUTED_VALUE"""),481.74)</f>
        <v>481.74</v>
      </c>
      <c r="F289" s="2">
        <f>IFERROR(__xludf.DUMMYFUNCTION("""COMPUTED_VALUE"""),1.2101415E7)</f>
        <v>12101415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IFERROR(__xludf.DUMMYFUNCTION("""COMPUTED_VALUE"""),479.98)</f>
        <v>479.98</v>
      </c>
      <c r="C290" s="2">
        <f>IFERROR(__xludf.DUMMYFUNCTION("""COMPUTED_VALUE"""),487.27)</f>
        <v>487.27</v>
      </c>
      <c r="D290" s="2">
        <f>IFERROR(__xludf.DUMMYFUNCTION("""COMPUTED_VALUE"""),479.92)</f>
        <v>479.92</v>
      </c>
      <c r="E290" s="2">
        <f>IFERROR(__xludf.DUMMYFUNCTION("""COMPUTED_VALUE"""),487.05)</f>
        <v>487.05</v>
      </c>
      <c r="F290" s="2">
        <f>IFERROR(__xludf.DUMMYFUNCTION("""COMPUTED_VALUE"""),1.0809595E7)</f>
        <v>10809595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IFERROR(__xludf.DUMMYFUNCTION("""COMPUTED_VALUE"""),485.0)</f>
        <v>485</v>
      </c>
      <c r="C291" s="2">
        <f>IFERROR(__xludf.DUMMYFUNCTION("""COMPUTED_VALUE"""),491.05)</f>
        <v>491.05</v>
      </c>
      <c r="D291" s="2">
        <f>IFERROR(__xludf.DUMMYFUNCTION("""COMPUTED_VALUE"""),482.75)</f>
        <v>482.75</v>
      </c>
      <c r="E291" s="2">
        <f>IFERROR(__xludf.DUMMYFUNCTION("""COMPUTED_VALUE"""),484.02)</f>
        <v>484.02</v>
      </c>
      <c r="F291" s="2">
        <f>IFERROR(__xludf.DUMMYFUNCTION("""COMPUTED_VALUE"""),1.2715486E7)</f>
        <v>12715486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IFERROR(__xludf.DUMMYFUNCTION("""COMPUTED_VALUE"""),488.44)</f>
        <v>488.44</v>
      </c>
      <c r="C292" s="2">
        <f>IFERROR(__xludf.DUMMYFUNCTION("""COMPUTED_VALUE"""),491.7)</f>
        <v>491.7</v>
      </c>
      <c r="D292" s="2">
        <f>IFERROR(__xludf.DUMMYFUNCTION("""COMPUTED_VALUE"""),482.61)</f>
        <v>482.61</v>
      </c>
      <c r="E292" s="2">
        <f>IFERROR(__xludf.DUMMYFUNCTION("""COMPUTED_VALUE"""),490.13)</f>
        <v>490.13</v>
      </c>
      <c r="F292" s="2">
        <f>IFERROR(__xludf.DUMMYFUNCTION("""COMPUTED_VALUE"""),1.7732045E7)</f>
        <v>17732045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IFERROR(__xludf.DUMMYFUNCTION("""COMPUTED_VALUE"""),492.11)</f>
        <v>492.11</v>
      </c>
      <c r="C293" s="2">
        <f>IFERROR(__xludf.DUMMYFUNCTION("""COMPUTED_VALUE"""),504.25)</f>
        <v>504.25</v>
      </c>
      <c r="D293" s="2">
        <f>IFERROR(__xludf.DUMMYFUNCTION("""COMPUTED_VALUE"""),491.85)</f>
        <v>491.85</v>
      </c>
      <c r="E293" s="2">
        <f>IFERROR(__xludf.DUMMYFUNCTION("""COMPUTED_VALUE"""),502.3)</f>
        <v>502.3</v>
      </c>
      <c r="F293" s="2">
        <f>IFERROR(__xludf.DUMMYFUNCTION("""COMPUTED_VALUE"""),1.5884882E7)</f>
        <v>15884882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IFERROR(__xludf.DUMMYFUNCTION("""COMPUTED_VALUE"""),503.0)</f>
        <v>503</v>
      </c>
      <c r="C294" s="2">
        <f>IFERROR(__xludf.DUMMYFUNCTION("""COMPUTED_VALUE"""),504.42)</f>
        <v>504.42</v>
      </c>
      <c r="D294" s="2">
        <f>IFERROR(__xludf.DUMMYFUNCTION("""COMPUTED_VALUE"""),496.42)</f>
        <v>496.42</v>
      </c>
      <c r="E294" s="2">
        <f>IFERROR(__xludf.DUMMYFUNCTION("""COMPUTED_VALUE"""),498.19)</f>
        <v>498.19</v>
      </c>
      <c r="F294" s="2">
        <f>IFERROR(__xludf.DUMMYFUNCTION("""COMPUTED_VALUE"""),1.2324141E7)</f>
        <v>12324141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IFERROR(__xludf.DUMMYFUNCTION("""COMPUTED_VALUE"""),495.0)</f>
        <v>495</v>
      </c>
      <c r="C295" s="2">
        <f>IFERROR(__xludf.DUMMYFUNCTION("""COMPUTED_VALUE"""),495.58)</f>
        <v>495.58</v>
      </c>
      <c r="D295" s="2">
        <f>IFERROR(__xludf.DUMMYFUNCTION("""COMPUTED_VALUE"""),487.89)</f>
        <v>487.89</v>
      </c>
      <c r="E295" s="2">
        <f>IFERROR(__xludf.DUMMYFUNCTION("""COMPUTED_VALUE"""),490.22)</f>
        <v>490.22</v>
      </c>
      <c r="F295" s="2">
        <f>IFERROR(__xludf.DUMMYFUNCTION("""COMPUTED_VALUE"""),1.5325299E7)</f>
        <v>15325299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IFERROR(__xludf.DUMMYFUNCTION("""COMPUTED_VALUE"""),497.63)</f>
        <v>497.63</v>
      </c>
      <c r="C296" s="2">
        <f>IFERROR(__xludf.DUMMYFUNCTION("""COMPUTED_VALUE"""),502.97)</f>
        <v>502.97</v>
      </c>
      <c r="D296" s="2">
        <f>IFERROR(__xludf.DUMMYFUNCTION("""COMPUTED_VALUE"""),494.29)</f>
        <v>494.29</v>
      </c>
      <c r="E296" s="2">
        <f>IFERROR(__xludf.DUMMYFUNCTION("""COMPUTED_VALUE"""),496.09)</f>
        <v>496.09</v>
      </c>
      <c r="F296" s="2">
        <f>IFERROR(__xludf.DUMMYFUNCTION("""COMPUTED_VALUE"""),1.1757925E7)</f>
        <v>11757925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IFERROR(__xludf.DUMMYFUNCTION("""COMPUTED_VALUE"""),503.28)</f>
        <v>503.28</v>
      </c>
      <c r="C297" s="2">
        <f>IFERROR(__xludf.DUMMYFUNCTION("""COMPUTED_VALUE"""),519.85)</f>
        <v>519.85</v>
      </c>
      <c r="D297" s="2">
        <f>IFERROR(__xludf.DUMMYFUNCTION("""COMPUTED_VALUE"""),501.38)</f>
        <v>501.38</v>
      </c>
      <c r="E297" s="2">
        <f>IFERROR(__xludf.DUMMYFUNCTION("""COMPUTED_VALUE"""),512.19)</f>
        <v>512.19</v>
      </c>
      <c r="F297" s="2">
        <f>IFERROR(__xludf.DUMMYFUNCTION("""COMPUTED_VALUE"""),1.8586437E7)</f>
        <v>18586437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IFERROR(__xludf.DUMMYFUNCTION("""COMPUTED_VALUE"""),514.19)</f>
        <v>514.19</v>
      </c>
      <c r="C298" s="2">
        <f>IFERROR(__xludf.DUMMYFUNCTION("""COMPUTED_VALUE"""),523.57)</f>
        <v>523.57</v>
      </c>
      <c r="D298" s="2">
        <f>IFERROR(__xludf.DUMMYFUNCTION("""COMPUTED_VALUE"""),499.35)</f>
        <v>499.35</v>
      </c>
      <c r="E298" s="2">
        <f>IFERROR(__xludf.DUMMYFUNCTION("""COMPUTED_VALUE"""),505.95)</f>
        <v>505.95</v>
      </c>
      <c r="F298" s="2">
        <f>IFERROR(__xludf.DUMMYFUNCTION("""COMPUTED_VALUE"""),1.8597059E7)</f>
        <v>18597059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IFERROR(__xludf.DUMMYFUNCTION("""COMPUTED_VALUE"""),497.01)</f>
        <v>497.01</v>
      </c>
      <c r="C299" s="2">
        <f>IFERROR(__xludf.DUMMYFUNCTION("""COMPUTED_VALUE"""),497.32)</f>
        <v>497.32</v>
      </c>
      <c r="D299" s="2">
        <f>IFERROR(__xludf.DUMMYFUNCTION("""COMPUTED_VALUE"""),476.0)</f>
        <v>476</v>
      </c>
      <c r="E299" s="2">
        <f>IFERROR(__xludf.DUMMYFUNCTION("""COMPUTED_VALUE"""),483.59)</f>
        <v>483.59</v>
      </c>
      <c r="F299" s="2">
        <f>IFERROR(__xludf.DUMMYFUNCTION("""COMPUTED_VALUE"""),2.0428274E7)</f>
        <v>20428274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IFERROR(__xludf.DUMMYFUNCTION("""COMPUTED_VALUE"""),493.26)</f>
        <v>493.26</v>
      </c>
      <c r="C300" s="2">
        <f>IFERROR(__xludf.DUMMYFUNCTION("""COMPUTED_VALUE"""),502.31)</f>
        <v>502.31</v>
      </c>
      <c r="D300" s="2">
        <f>IFERROR(__xludf.DUMMYFUNCTION("""COMPUTED_VALUE"""),484.73)</f>
        <v>484.73</v>
      </c>
      <c r="E300" s="2">
        <f>IFERROR(__xludf.DUMMYFUNCTION("""COMPUTED_VALUE"""),499.75)</f>
        <v>499.75</v>
      </c>
      <c r="F300" s="2">
        <f>IFERROR(__xludf.DUMMYFUNCTION("""COMPUTED_VALUE"""),1.5448232E7)</f>
        <v>15448232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IFERROR(__xludf.DUMMYFUNCTION("""COMPUTED_VALUE"""),495.39)</f>
        <v>495.39</v>
      </c>
      <c r="C301" s="2">
        <f>IFERROR(__xludf.DUMMYFUNCTION("""COMPUTED_VALUE"""),500.98)</f>
        <v>500.98</v>
      </c>
      <c r="D301" s="2">
        <f>IFERROR(__xludf.DUMMYFUNCTION("""COMPUTED_VALUE"""),491.03)</f>
        <v>491.03</v>
      </c>
      <c r="E301" s="2">
        <f>IFERROR(__xludf.DUMMYFUNCTION("""COMPUTED_VALUE"""),495.57)</f>
        <v>495.57</v>
      </c>
      <c r="F301" s="2">
        <f>IFERROR(__xludf.DUMMYFUNCTION("""COMPUTED_VALUE"""),1.2090656E7)</f>
        <v>12090656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IFERROR(__xludf.DUMMYFUNCTION("""COMPUTED_VALUE"""),500.26)</f>
        <v>500.26</v>
      </c>
      <c r="C302" s="2">
        <f>IFERROR(__xludf.DUMMYFUNCTION("""COMPUTED_VALUE"""),501.35)</f>
        <v>501.35</v>
      </c>
      <c r="D302" s="2">
        <f>IFERROR(__xludf.DUMMYFUNCTION("""COMPUTED_VALUE"""),488.16)</f>
        <v>488.16</v>
      </c>
      <c r="E302" s="2">
        <f>IFERROR(__xludf.DUMMYFUNCTION("""COMPUTED_VALUE"""),491.83)</f>
        <v>491.83</v>
      </c>
      <c r="F302" s="2">
        <f>IFERROR(__xludf.DUMMYFUNCTION("""COMPUTED_VALUE"""),1.2620014E7)</f>
        <v>12620014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IFERROR(__xludf.DUMMYFUNCTION("""COMPUTED_VALUE"""),489.01)</f>
        <v>489.01</v>
      </c>
      <c r="C303" s="2">
        <f>IFERROR(__xludf.DUMMYFUNCTION("""COMPUTED_VALUE"""),491.83)</f>
        <v>491.83</v>
      </c>
      <c r="D303" s="2">
        <f>IFERROR(__xludf.DUMMYFUNCTION("""COMPUTED_VALUE"""),481.3)</f>
        <v>481.3</v>
      </c>
      <c r="E303" s="2">
        <f>IFERROR(__xludf.DUMMYFUNCTION("""COMPUTED_VALUE"""),484.1)</f>
        <v>484.1</v>
      </c>
      <c r="F303" s="2">
        <f>IFERROR(__xludf.DUMMYFUNCTION("""COMPUTED_VALUE"""),2.9153576E7)</f>
        <v>29153576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IFERROR(__xludf.DUMMYFUNCTION("""COMPUTED_VALUE"""),491.91)</f>
        <v>491.91</v>
      </c>
      <c r="C304" s="2">
        <f>IFERROR(__xludf.DUMMYFUNCTION("""COMPUTED_VALUE"""),497.42)</f>
        <v>497.42</v>
      </c>
      <c r="D304" s="2">
        <f>IFERROR(__xludf.DUMMYFUNCTION("""COMPUTED_VALUE"""),486.81)</f>
        <v>486.81</v>
      </c>
      <c r="E304" s="2">
        <f>IFERROR(__xludf.DUMMYFUNCTION("""COMPUTED_VALUE"""),496.98)</f>
        <v>496.98</v>
      </c>
      <c r="F304" s="2">
        <f>IFERROR(__xludf.DUMMYFUNCTION("""COMPUTED_VALUE"""),1.1755251E7)</f>
        <v>11755251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IFERROR(__xludf.DUMMYFUNCTION("""COMPUTED_VALUE"""),488.17)</f>
        <v>488.17</v>
      </c>
      <c r="C305" s="2">
        <f>IFERROR(__xludf.DUMMYFUNCTION("""COMPUTED_VALUE"""),496.63)</f>
        <v>496.63</v>
      </c>
      <c r="D305" s="2">
        <f>IFERROR(__xludf.DUMMYFUNCTION("""COMPUTED_VALUE"""),481.28)</f>
        <v>481.28</v>
      </c>
      <c r="E305" s="2">
        <f>IFERROR(__xludf.DUMMYFUNCTION("""COMPUTED_VALUE"""),496.24)</f>
        <v>496.24</v>
      </c>
      <c r="F305" s="2">
        <f>IFERROR(__xludf.DUMMYFUNCTION("""COMPUTED_VALUE"""),1.0903092E7)</f>
        <v>10903092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IFERROR(__xludf.DUMMYFUNCTION("""COMPUTED_VALUE"""),499.5)</f>
        <v>499.5</v>
      </c>
      <c r="C306" s="2">
        <f>IFERROR(__xludf.DUMMYFUNCTION("""COMPUTED_VALUE"""),508.2)</f>
        <v>508.2</v>
      </c>
      <c r="D306" s="2">
        <f>IFERROR(__xludf.DUMMYFUNCTION("""COMPUTED_VALUE"""),495.17)</f>
        <v>495.17</v>
      </c>
      <c r="E306" s="2">
        <f>IFERROR(__xludf.DUMMYFUNCTION("""COMPUTED_VALUE"""),505.52)</f>
        <v>505.52</v>
      </c>
      <c r="F306" s="2">
        <f>IFERROR(__xludf.DUMMYFUNCTION("""COMPUTED_VALUE"""),1.17111E7)</f>
        <v>11711100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IFERROR(__xludf.DUMMYFUNCTION("""COMPUTED_VALUE"""),514.71)</f>
        <v>514.71</v>
      </c>
      <c r="C307" s="2">
        <f>IFERROR(__xludf.DUMMYFUNCTION("""COMPUTED_VALUE"""),515.04)</f>
        <v>515.04</v>
      </c>
      <c r="D307" s="2">
        <f>IFERROR(__xludf.DUMMYFUNCTION("""COMPUTED_VALUE"""),506.01)</f>
        <v>506.01</v>
      </c>
      <c r="E307" s="2">
        <f>IFERROR(__xludf.DUMMYFUNCTION("""COMPUTED_VALUE"""),507.76)</f>
        <v>507.76</v>
      </c>
      <c r="F307" s="2">
        <f>IFERROR(__xludf.DUMMYFUNCTION("""COMPUTED_VALUE"""),9712549.0)</f>
        <v>9712549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IFERROR(__xludf.DUMMYFUNCTION("""COMPUTED_VALUE"""),507.0)</f>
        <v>507</v>
      </c>
      <c r="C308" s="2">
        <f>IFERROR(__xludf.DUMMYFUNCTION("""COMPUTED_VALUE"""),509.97)</f>
        <v>509.97</v>
      </c>
      <c r="D308" s="2">
        <f>IFERROR(__xludf.DUMMYFUNCTION("""COMPUTED_VALUE"""),504.34)</f>
        <v>504.34</v>
      </c>
      <c r="E308" s="2">
        <f>IFERROR(__xludf.DUMMYFUNCTION("""COMPUTED_VALUE"""),509.58)</f>
        <v>509.58</v>
      </c>
      <c r="F308" s="2">
        <f>IFERROR(__xludf.DUMMYFUNCTION("""COMPUTED_VALUE"""),8120593.0)</f>
        <v>8120593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IFERROR(__xludf.DUMMYFUNCTION("""COMPUTED_VALUE"""),505.79)</f>
        <v>505.79</v>
      </c>
      <c r="C309" s="2">
        <f>IFERROR(__xludf.DUMMYFUNCTION("""COMPUTED_VALUE"""),507.22)</f>
        <v>507.22</v>
      </c>
      <c r="D309" s="2">
        <f>IFERROR(__xludf.DUMMYFUNCTION("""COMPUTED_VALUE"""),500.24)</f>
        <v>500.24</v>
      </c>
      <c r="E309" s="2">
        <f>IFERROR(__xludf.DUMMYFUNCTION("""COMPUTED_VALUE"""),503.02)</f>
        <v>503.02</v>
      </c>
      <c r="F309" s="2">
        <f>IFERROR(__xludf.DUMMYFUNCTION("""COMPUTED_VALUE"""),8380617.0)</f>
        <v>8380617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IFERROR(__xludf.DUMMYFUNCTION("""COMPUTED_VALUE"""),505.13)</f>
        <v>505.13</v>
      </c>
      <c r="C310" s="2">
        <f>IFERROR(__xludf.DUMMYFUNCTION("""COMPUTED_VALUE"""),510.0)</f>
        <v>510</v>
      </c>
      <c r="D310" s="2">
        <f>IFERROR(__xludf.DUMMYFUNCTION("""COMPUTED_VALUE"""),495.21)</f>
        <v>495.21</v>
      </c>
      <c r="E310" s="2">
        <f>IFERROR(__xludf.DUMMYFUNCTION("""COMPUTED_VALUE"""),495.89)</f>
        <v>495.89</v>
      </c>
      <c r="F310" s="2">
        <f>IFERROR(__xludf.DUMMYFUNCTION("""COMPUTED_VALUE"""),1.1205382E7)</f>
        <v>11205382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IFERROR(__xludf.DUMMYFUNCTION("""COMPUTED_VALUE"""),499.3)</f>
        <v>499.3</v>
      </c>
      <c r="C311" s="2">
        <f>IFERROR(__xludf.DUMMYFUNCTION("""COMPUTED_VALUE"""),499.89)</f>
        <v>499.89</v>
      </c>
      <c r="D311" s="2">
        <f>IFERROR(__xludf.DUMMYFUNCTION("""COMPUTED_VALUE"""),488.07)</f>
        <v>488.07</v>
      </c>
      <c r="E311" s="2">
        <f>IFERROR(__xludf.DUMMYFUNCTION("""COMPUTED_VALUE"""),493.86)</f>
        <v>493.86</v>
      </c>
      <c r="F311" s="2">
        <f>IFERROR(__xludf.DUMMYFUNCTION("""COMPUTED_VALUE"""),9989676.0)</f>
        <v>9989676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IFERROR(__xludf.DUMMYFUNCTION("""COMPUTED_VALUE"""),492.84)</f>
        <v>492.84</v>
      </c>
      <c r="C312" s="2">
        <f>IFERROR(__xludf.DUMMYFUNCTION("""COMPUTED_VALUE"""),492.89)</f>
        <v>492.89</v>
      </c>
      <c r="D312" s="2">
        <f>IFERROR(__xludf.DUMMYFUNCTION("""COMPUTED_VALUE"""),485.15)</f>
        <v>485.15</v>
      </c>
      <c r="E312" s="2">
        <f>IFERROR(__xludf.DUMMYFUNCTION("""COMPUTED_VALUE"""),485.58)</f>
        <v>485.58</v>
      </c>
      <c r="F312" s="2">
        <f>IFERROR(__xludf.DUMMYFUNCTION("""COMPUTED_VALUE"""),1.5212764E7)</f>
        <v>15212764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IFERROR(__xludf.DUMMYFUNCTION("""COMPUTED_VALUE"""),487.2)</f>
        <v>487.2</v>
      </c>
      <c r="C313" s="2">
        <f>IFERROR(__xludf.DUMMYFUNCTION("""COMPUTED_VALUE"""),497.43)</f>
        <v>497.43</v>
      </c>
      <c r="D313" s="2">
        <f>IFERROR(__xludf.DUMMYFUNCTION("""COMPUTED_VALUE"""),481.78)</f>
        <v>481.78</v>
      </c>
      <c r="E313" s="2">
        <f>IFERROR(__xludf.DUMMYFUNCTION("""COMPUTED_VALUE"""),491.35)</f>
        <v>491.35</v>
      </c>
      <c r="F313" s="2">
        <f>IFERROR(__xludf.DUMMYFUNCTION("""COMPUTED_VALUE"""),9247007.0)</f>
        <v>9247007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IFERROR(__xludf.DUMMYFUNCTION("""COMPUTED_VALUE"""),485.1)</f>
        <v>485.1</v>
      </c>
      <c r="C314" s="2">
        <f>IFERROR(__xludf.DUMMYFUNCTION("""COMPUTED_VALUE"""),497.53)</f>
        <v>497.53</v>
      </c>
      <c r="D314" s="2">
        <f>IFERROR(__xludf.DUMMYFUNCTION("""COMPUTED_VALUE"""),484.65)</f>
        <v>484.65</v>
      </c>
      <c r="E314" s="2">
        <f>IFERROR(__xludf.DUMMYFUNCTION("""COMPUTED_VALUE"""),497.37)</f>
        <v>497.37</v>
      </c>
      <c r="F314" s="2">
        <f>IFERROR(__xludf.DUMMYFUNCTION("""COMPUTED_VALUE"""),1.1081026E7)</f>
        <v>11081026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IFERROR(__xludf.DUMMYFUNCTION("""COMPUTED_VALUE"""),498.93)</f>
        <v>498.93</v>
      </c>
      <c r="C315" s="2">
        <f>IFERROR(__xludf.DUMMYFUNCTION("""COMPUTED_VALUE"""),507.24)</f>
        <v>507.24</v>
      </c>
      <c r="D315" s="2">
        <f>IFERROR(__xludf.DUMMYFUNCTION("""COMPUTED_VALUE"""),498.75)</f>
        <v>498.75</v>
      </c>
      <c r="E315" s="2">
        <f>IFERROR(__xludf.DUMMYFUNCTION("""COMPUTED_VALUE"""),506.74)</f>
        <v>506.74</v>
      </c>
      <c r="F315" s="2">
        <f>IFERROR(__xludf.DUMMYFUNCTION("""COMPUTED_VALUE"""),1.2099171E7)</f>
        <v>12099171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IFERROR(__xludf.DUMMYFUNCTION("""COMPUTED_VALUE"""),516.42)</f>
        <v>516.42</v>
      </c>
      <c r="C316" s="2">
        <f>IFERROR(__xludf.DUMMYFUNCTION("""COMPUTED_VALUE"""),530.0)</f>
        <v>530</v>
      </c>
      <c r="D316" s="2">
        <f>IFERROR(__xludf.DUMMYFUNCTION("""COMPUTED_VALUE"""),510.58)</f>
        <v>510.58</v>
      </c>
      <c r="E316" s="2">
        <f>IFERROR(__xludf.DUMMYFUNCTION("""COMPUTED_VALUE"""),510.92)</f>
        <v>510.92</v>
      </c>
      <c r="F316" s="2">
        <f>IFERROR(__xludf.DUMMYFUNCTION("""COMPUTED_VALUE"""),2.6476253E7)</f>
        <v>26476253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IFERROR(__xludf.DUMMYFUNCTION("""COMPUTED_VALUE"""),516.86)</f>
        <v>516.86</v>
      </c>
      <c r="C317" s="2">
        <f>IFERROR(__xludf.DUMMYFUNCTION("""COMPUTED_VALUE"""),530.7)</f>
        <v>530.7</v>
      </c>
      <c r="D317" s="2">
        <f>IFERROR(__xludf.DUMMYFUNCTION("""COMPUTED_VALUE"""),514.41)</f>
        <v>514.41</v>
      </c>
      <c r="E317" s="2">
        <f>IFERROR(__xludf.DUMMYFUNCTION("""COMPUTED_VALUE"""),527.34)</f>
        <v>527.34</v>
      </c>
      <c r="F317" s="2">
        <f>IFERROR(__xludf.DUMMYFUNCTION("""COMPUTED_VALUE"""),1.9263265E7)</f>
        <v>19263265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IFERROR(__xludf.DUMMYFUNCTION("""COMPUTED_VALUE"""),529.28)</f>
        <v>529.28</v>
      </c>
      <c r="C318" s="2">
        <f>IFERROR(__xludf.DUMMYFUNCTION("""COMPUTED_VALUE"""),531.49)</f>
        <v>531.49</v>
      </c>
      <c r="D318" s="2">
        <f>IFERROR(__xludf.DUMMYFUNCTION("""COMPUTED_VALUE"""),518.89)</f>
        <v>518.89</v>
      </c>
      <c r="E318" s="2">
        <f>IFERROR(__xludf.DUMMYFUNCTION("""COMPUTED_VALUE"""),519.25)</f>
        <v>519.25</v>
      </c>
      <c r="F318" s="2">
        <f>IFERROR(__xludf.DUMMYFUNCTION("""COMPUTED_VALUE"""),1.3260579E7)</f>
        <v>13260579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IFERROR(__xludf.DUMMYFUNCTION("""COMPUTED_VALUE"""),522.23)</f>
        <v>522.23</v>
      </c>
      <c r="C319" s="2">
        <f>IFERROR(__xludf.DUMMYFUNCTION("""COMPUTED_VALUE"""),525.87)</f>
        <v>525.87</v>
      </c>
      <c r="D319" s="2">
        <f>IFERROR(__xludf.DUMMYFUNCTION("""COMPUTED_VALUE"""),506.74)</f>
        <v>506.74</v>
      </c>
      <c r="E319" s="2">
        <f>IFERROR(__xludf.DUMMYFUNCTION("""COMPUTED_VALUE"""),516.9)</f>
        <v>516.9</v>
      </c>
      <c r="F319" s="2">
        <f>IFERROR(__xludf.DUMMYFUNCTION("""COMPUTED_VALUE"""),1.0881445E7)</f>
        <v>10881445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IFERROR(__xludf.DUMMYFUNCTION("""COMPUTED_VALUE"""),509.29)</f>
        <v>509.29</v>
      </c>
      <c r="C320" s="2">
        <f>IFERROR(__xludf.DUMMYFUNCTION("""COMPUTED_VALUE"""),522.56)</f>
        <v>522.56</v>
      </c>
      <c r="D320" s="2">
        <f>IFERROR(__xludf.DUMMYFUNCTION("""COMPUTED_VALUE"""),505.8)</f>
        <v>505.8</v>
      </c>
      <c r="E320" s="2">
        <f>IFERROR(__xludf.DUMMYFUNCTION("""COMPUTED_VALUE"""),519.83)</f>
        <v>519.83</v>
      </c>
      <c r="F320" s="2">
        <f>IFERROR(__xludf.DUMMYFUNCTION("""COMPUTED_VALUE"""),1.1418491E7)</f>
        <v>11418491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IFERROR(__xludf.DUMMYFUNCTION("""COMPUTED_VALUE"""),521.11)</f>
        <v>521.11</v>
      </c>
      <c r="C321" s="2">
        <f>IFERROR(__xludf.DUMMYFUNCTION("""COMPUTED_VALUE"""),523.86)</f>
        <v>523.86</v>
      </c>
      <c r="D321" s="2">
        <f>IFERROR(__xludf.DUMMYFUNCTION("""COMPUTED_VALUE"""),517.29)</f>
        <v>517.29</v>
      </c>
      <c r="E321" s="2">
        <f>IFERROR(__xludf.DUMMYFUNCTION("""COMPUTED_VALUE"""),523.16)</f>
        <v>523.16</v>
      </c>
      <c r="F321" s="2">
        <f>IFERROR(__xludf.DUMMYFUNCTION("""COMPUTED_VALUE"""),1.0369469E7)</f>
        <v>10369469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IFERROR(__xludf.DUMMYFUNCTION("""COMPUTED_VALUE"""),517.75)</f>
        <v>517.75</v>
      </c>
      <c r="C322" s="2">
        <f>IFERROR(__xludf.DUMMYFUNCTION("""COMPUTED_VALUE"""),520.19)</f>
        <v>520.19</v>
      </c>
      <c r="D322" s="2">
        <f>IFERROR(__xludf.DUMMYFUNCTION("""COMPUTED_VALUE"""),509.33)</f>
        <v>509.33</v>
      </c>
      <c r="E322" s="2">
        <f>IFERROR(__xludf.DUMMYFUNCTION("""COMPUTED_VALUE"""),511.9)</f>
        <v>511.9</v>
      </c>
      <c r="F322" s="2">
        <f>IFERROR(__xludf.DUMMYFUNCTION("""COMPUTED_VALUE"""),1.1984535E7)</f>
        <v>11984535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IFERROR(__xludf.DUMMYFUNCTION("""COMPUTED_VALUE"""),516.72)</f>
        <v>516.72</v>
      </c>
      <c r="C323" s="2">
        <f>IFERROR(__xludf.DUMMYFUNCTION("""COMPUTED_VALUE"""),518.53)</f>
        <v>518.53</v>
      </c>
      <c r="D323" s="2">
        <f>IFERROR(__xludf.DUMMYFUNCTION("""COMPUTED_VALUE"""),497.28)</f>
        <v>497.28</v>
      </c>
      <c r="E323" s="2">
        <f>IFERROR(__xludf.DUMMYFUNCTION("""COMPUTED_VALUE"""),500.23)</f>
        <v>500.23</v>
      </c>
      <c r="F323" s="2">
        <f>IFERROR(__xludf.DUMMYFUNCTION("""COMPUTED_VALUE"""),1.3512893E7)</f>
        <v>13512893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IFERROR(__xludf.DUMMYFUNCTION("""COMPUTED_VALUE"""),498.11)</f>
        <v>498.11</v>
      </c>
      <c r="C324" s="2">
        <f>IFERROR(__xludf.DUMMYFUNCTION("""COMPUTED_VALUE"""),504.77)</f>
        <v>504.77</v>
      </c>
      <c r="D324" s="2">
        <f>IFERROR(__xludf.DUMMYFUNCTION("""COMPUTED_VALUE"""),497.11)</f>
        <v>497.11</v>
      </c>
      <c r="E324" s="2">
        <f>IFERROR(__xludf.DUMMYFUNCTION("""COMPUTED_VALUE"""),499.76)</f>
        <v>499.76</v>
      </c>
      <c r="F324" s="2">
        <f>IFERROR(__xludf.DUMMYFUNCTION("""COMPUTED_VALUE"""),9847925.0)</f>
        <v>9847925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IFERROR(__xludf.DUMMYFUNCTION("""COMPUTED_VALUE"""),503.1)</f>
        <v>503.1</v>
      </c>
      <c r="C325" s="2">
        <f>IFERROR(__xludf.DUMMYFUNCTION("""COMPUTED_VALUE"""),503.16)</f>
        <v>503.16</v>
      </c>
      <c r="D325" s="2">
        <f>IFERROR(__xludf.DUMMYFUNCTION("""COMPUTED_VALUE"""),487.14)</f>
        <v>487.14</v>
      </c>
      <c r="E325" s="2">
        <f>IFERROR(__xludf.DUMMYFUNCTION("""COMPUTED_VALUE"""),494.17)</f>
        <v>494.17</v>
      </c>
      <c r="F325" s="2">
        <f>IFERROR(__xludf.DUMMYFUNCTION("""COMPUTED_VALUE"""),1.2193743E7)</f>
        <v>12193743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IFERROR(__xludf.DUMMYFUNCTION("""COMPUTED_VALUE"""),499.82)</f>
        <v>499.82</v>
      </c>
      <c r="C326" s="2">
        <f>IFERROR(__xludf.DUMMYFUNCTION("""COMPUTED_VALUE"""),512.21)</f>
        <v>512.21</v>
      </c>
      <c r="D326" s="2">
        <f>IFERROR(__xludf.DUMMYFUNCTION("""COMPUTED_VALUE"""),499.04)</f>
        <v>499.04</v>
      </c>
      <c r="E326" s="2">
        <f>IFERROR(__xludf.DUMMYFUNCTION("""COMPUTED_VALUE"""),501.8)</f>
        <v>501.8</v>
      </c>
      <c r="F326" s="2">
        <f>IFERROR(__xludf.DUMMYFUNCTION("""COMPUTED_VALUE"""),1.480867E7)</f>
        <v>14808670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IFERROR(__xludf.DUMMYFUNCTION("""COMPUTED_VALUE"""),502.8)</f>
        <v>502.8</v>
      </c>
      <c r="C327" s="2">
        <f>IFERROR(__xludf.DUMMYFUNCTION("""COMPUTED_VALUE"""),502.8)</f>
        <v>502.8</v>
      </c>
      <c r="D327" s="2">
        <f>IFERROR(__xludf.DUMMYFUNCTION("""COMPUTED_VALUE"""),475.73)</f>
        <v>475.73</v>
      </c>
      <c r="E327" s="2">
        <f>IFERROR(__xludf.DUMMYFUNCTION("""COMPUTED_VALUE"""),481.07)</f>
        <v>481.07</v>
      </c>
      <c r="F327" s="2">
        <f>IFERROR(__xludf.DUMMYFUNCTION("""COMPUTED_VALUE"""),2.5215364E7)</f>
        <v>25215364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IFERROR(__xludf.DUMMYFUNCTION("""COMPUTED_VALUE"""),489.72)</f>
        <v>489.72</v>
      </c>
      <c r="C328" s="2">
        <f>IFERROR(__xludf.DUMMYFUNCTION("""COMPUTED_VALUE"""),492.01)</f>
        <v>492.01</v>
      </c>
      <c r="D328" s="2">
        <f>IFERROR(__xludf.DUMMYFUNCTION("""COMPUTED_VALUE"""),473.4)</f>
        <v>473.4</v>
      </c>
      <c r="E328" s="2">
        <f>IFERROR(__xludf.DUMMYFUNCTION("""COMPUTED_VALUE"""),481.73)</f>
        <v>481.73</v>
      </c>
      <c r="F328" s="2">
        <f>IFERROR(__xludf.DUMMYFUNCTION("""COMPUTED_VALUE"""),1.7271125E7)</f>
        <v>17271125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IFERROR(__xludf.DUMMYFUNCTION("""COMPUTED_VALUE"""),491.25)</f>
        <v>491.25</v>
      </c>
      <c r="C329" s="2">
        <f>IFERROR(__xludf.DUMMYFUNCTION("""COMPUTED_VALUE"""),498.76)</f>
        <v>498.76</v>
      </c>
      <c r="D329" s="2">
        <f>IFERROR(__xludf.DUMMYFUNCTION("""COMPUTED_VALUE"""),488.97)</f>
        <v>488.97</v>
      </c>
      <c r="E329" s="2">
        <f>IFERROR(__xludf.DUMMYFUNCTION("""COMPUTED_VALUE"""),496.1)</f>
        <v>496.1</v>
      </c>
      <c r="F329" s="2">
        <f>IFERROR(__xludf.DUMMYFUNCTION("""COMPUTED_VALUE"""),1.5079196E7)</f>
        <v>15079196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IFERROR(__xludf.DUMMYFUNCTION("""COMPUTED_VALUE"""),508.06)</f>
        <v>508.06</v>
      </c>
      <c r="C330" s="2">
        <f>IFERROR(__xludf.DUMMYFUNCTION("""COMPUTED_VALUE"""),510.0)</f>
        <v>510</v>
      </c>
      <c r="D330" s="2">
        <f>IFERROR(__xludf.DUMMYFUNCTION("""COMPUTED_VALUE"""),484.58)</f>
        <v>484.58</v>
      </c>
      <c r="E330" s="2">
        <f>IFERROR(__xludf.DUMMYFUNCTION("""COMPUTED_VALUE"""),493.5)</f>
        <v>493.5</v>
      </c>
      <c r="F330" s="2">
        <f>IFERROR(__xludf.DUMMYFUNCTION("""COMPUTED_VALUE"""),3.7772677E7)</f>
        <v>37772677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IFERROR(__xludf.DUMMYFUNCTION("""COMPUTED_VALUE"""),421.4)</f>
        <v>421.4</v>
      </c>
      <c r="C331" s="2">
        <f>IFERROR(__xludf.DUMMYFUNCTION("""COMPUTED_VALUE"""),445.77)</f>
        <v>445.77</v>
      </c>
      <c r="D331" s="2">
        <f>IFERROR(__xludf.DUMMYFUNCTION("""COMPUTED_VALUE"""),414.5)</f>
        <v>414.5</v>
      </c>
      <c r="E331" s="2">
        <f>IFERROR(__xludf.DUMMYFUNCTION("""COMPUTED_VALUE"""),441.38)</f>
        <v>441.38</v>
      </c>
      <c r="F331" s="2">
        <f>IFERROR(__xludf.DUMMYFUNCTION("""COMPUTED_VALUE"""),8.2890741E7)</f>
        <v>82890741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IFERROR(__xludf.DUMMYFUNCTION("""COMPUTED_VALUE"""),441.46)</f>
        <v>441.46</v>
      </c>
      <c r="C332" s="2">
        <f>IFERROR(__xludf.DUMMYFUNCTION("""COMPUTED_VALUE"""),446.44)</f>
        <v>446.44</v>
      </c>
      <c r="D332" s="2">
        <f>IFERROR(__xludf.DUMMYFUNCTION("""COMPUTED_VALUE"""),431.96)</f>
        <v>431.96</v>
      </c>
      <c r="E332" s="2">
        <f>IFERROR(__xludf.DUMMYFUNCTION("""COMPUTED_VALUE"""),443.29)</f>
        <v>443.29</v>
      </c>
      <c r="F332" s="2">
        <f>IFERROR(__xludf.DUMMYFUNCTION("""COMPUTED_VALUE"""),3.2691443E7)</f>
        <v>32691443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IFERROR(__xludf.DUMMYFUNCTION("""COMPUTED_VALUE"""),439.56)</f>
        <v>439.56</v>
      </c>
      <c r="C333" s="2">
        <f>IFERROR(__xludf.DUMMYFUNCTION("""COMPUTED_VALUE"""),439.76)</f>
        <v>439.76</v>
      </c>
      <c r="D333" s="2">
        <f>IFERROR(__xludf.DUMMYFUNCTION("""COMPUTED_VALUE"""),428.56)</f>
        <v>428.56</v>
      </c>
      <c r="E333" s="2">
        <f>IFERROR(__xludf.DUMMYFUNCTION("""COMPUTED_VALUE"""),432.62)</f>
        <v>432.62</v>
      </c>
      <c r="F333" s="2">
        <f>IFERROR(__xludf.DUMMYFUNCTION("""COMPUTED_VALUE"""),2.1502646E7)</f>
        <v>21502646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IFERROR(__xludf.DUMMYFUNCTION("""COMPUTED_VALUE"""),431.05)</f>
        <v>431.05</v>
      </c>
      <c r="C334" s="2">
        <f>IFERROR(__xludf.DUMMYFUNCTION("""COMPUTED_VALUE"""),439.62)</f>
        <v>439.62</v>
      </c>
      <c r="D334" s="2">
        <f>IFERROR(__xludf.DUMMYFUNCTION("""COMPUTED_VALUE"""),429.72)</f>
        <v>429.72</v>
      </c>
      <c r="E334" s="2">
        <f>IFERROR(__xludf.DUMMYFUNCTION("""COMPUTED_VALUE"""),430.17)</f>
        <v>430.17</v>
      </c>
      <c r="F334" s="2">
        <f>IFERROR(__xludf.DUMMYFUNCTION("""COMPUTED_VALUE"""),1.8429496E7)</f>
        <v>18429496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IFERROR(__xludf.DUMMYFUNCTION("""COMPUTED_VALUE"""),428.6)</f>
        <v>428.6</v>
      </c>
      <c r="C335" s="2">
        <f>IFERROR(__xludf.DUMMYFUNCTION("""COMPUTED_VALUE"""),449.96)</f>
        <v>449.96</v>
      </c>
      <c r="D335" s="2">
        <f>IFERROR(__xludf.DUMMYFUNCTION("""COMPUTED_VALUE"""),427.11)</f>
        <v>427.11</v>
      </c>
      <c r="E335" s="2">
        <f>IFERROR(__xludf.DUMMYFUNCTION("""COMPUTED_VALUE"""),439.19)</f>
        <v>439.19</v>
      </c>
      <c r="F335" s="2">
        <f>IFERROR(__xludf.DUMMYFUNCTION("""COMPUTED_VALUE"""),2.0344947E7)</f>
        <v>20344947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IFERROR(__xludf.DUMMYFUNCTION("""COMPUTED_VALUE"""),438.84)</f>
        <v>438.84</v>
      </c>
      <c r="C336" s="2">
        <f>IFERROR(__xludf.DUMMYFUNCTION("""COMPUTED_VALUE"""),443.96)</f>
        <v>443.96</v>
      </c>
      <c r="D336" s="2">
        <f>IFERROR(__xludf.DUMMYFUNCTION("""COMPUTED_VALUE"""),432.28)</f>
        <v>432.28</v>
      </c>
      <c r="E336" s="2">
        <f>IFERROR(__xludf.DUMMYFUNCTION("""COMPUTED_VALUE"""),441.68)</f>
        <v>441.68</v>
      </c>
      <c r="F336" s="2">
        <f>IFERROR(__xludf.DUMMYFUNCTION("""COMPUTED_VALUE"""),1.5221322E7)</f>
        <v>15221322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IFERROR(__xludf.DUMMYFUNCTION("""COMPUTED_VALUE"""),445.93)</f>
        <v>445.93</v>
      </c>
      <c r="C337" s="2">
        <f>IFERROR(__xludf.DUMMYFUNCTION("""COMPUTED_VALUE"""),454.17)</f>
        <v>454.17</v>
      </c>
      <c r="D337" s="2">
        <f>IFERROR(__xludf.DUMMYFUNCTION("""COMPUTED_VALUE"""),443.85)</f>
        <v>443.85</v>
      </c>
      <c r="E337" s="2">
        <f>IFERROR(__xludf.DUMMYFUNCTION("""COMPUTED_VALUE"""),451.96)</f>
        <v>451.96</v>
      </c>
      <c r="F337" s="2">
        <f>IFERROR(__xludf.DUMMYFUNCTION("""COMPUTED_VALUE"""),1.6489057E7)</f>
        <v>16489057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IFERROR(__xludf.DUMMYFUNCTION("""COMPUTED_VALUE"""),455.58)</f>
        <v>455.58</v>
      </c>
      <c r="C338" s="2">
        <f>IFERROR(__xludf.DUMMYFUNCTION("""COMPUTED_VALUE"""),466.16)</f>
        <v>466.16</v>
      </c>
      <c r="D338" s="2">
        <f>IFERROR(__xludf.DUMMYFUNCTION("""COMPUTED_VALUE"""),453.34)</f>
        <v>453.34</v>
      </c>
      <c r="E338" s="2">
        <f>IFERROR(__xludf.DUMMYFUNCTION("""COMPUTED_VALUE"""),465.68)</f>
        <v>465.68</v>
      </c>
      <c r="F338" s="2">
        <f>IFERROR(__xludf.DUMMYFUNCTION("""COMPUTED_VALUE"""),1.5094627E7)</f>
        <v>15094627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IFERROR(__xludf.DUMMYFUNCTION("""COMPUTED_VALUE"""),466.29)</f>
        <v>466.29</v>
      </c>
      <c r="C339" s="2">
        <f>IFERROR(__xludf.DUMMYFUNCTION("""COMPUTED_VALUE"""),471.53)</f>
        <v>471.53</v>
      </c>
      <c r="D339" s="2">
        <f>IFERROR(__xludf.DUMMYFUNCTION("""COMPUTED_VALUE"""),461.31)</f>
        <v>461.31</v>
      </c>
      <c r="E339" s="2">
        <f>IFERROR(__xludf.DUMMYFUNCTION("""COMPUTED_VALUE"""),468.24)</f>
        <v>468.24</v>
      </c>
      <c r="F339" s="2">
        <f>IFERROR(__xludf.DUMMYFUNCTION("""COMPUTED_VALUE"""),1.3406816E7)</f>
        <v>13406816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IFERROR(__xludf.DUMMYFUNCTION("""COMPUTED_VALUE"""),463.5)</f>
        <v>463.5</v>
      </c>
      <c r="C340" s="2">
        <f>IFERROR(__xludf.DUMMYFUNCTION("""COMPUTED_VALUE"""),475.58)</f>
        <v>475.58</v>
      </c>
      <c r="D340" s="2">
        <f>IFERROR(__xludf.DUMMYFUNCTION("""COMPUTED_VALUE"""),463.0)</f>
        <v>463</v>
      </c>
      <c r="E340" s="2">
        <f>IFERROR(__xludf.DUMMYFUNCTION("""COMPUTED_VALUE"""),472.6)</f>
        <v>472.6</v>
      </c>
      <c r="F340" s="2">
        <f>IFERROR(__xludf.DUMMYFUNCTION("""COMPUTED_VALUE"""),1.1683929E7)</f>
        <v>11683929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IFERROR(__xludf.DUMMYFUNCTION("""COMPUTED_VALUE"""),470.0)</f>
        <v>470</v>
      </c>
      <c r="C341" s="2">
        <f>IFERROR(__xludf.DUMMYFUNCTION("""COMPUTED_VALUE"""),476.08)</f>
        <v>476.08</v>
      </c>
      <c r="D341" s="2">
        <f>IFERROR(__xludf.DUMMYFUNCTION("""COMPUTED_VALUE"""),467.63)</f>
        <v>467.63</v>
      </c>
      <c r="E341" s="2">
        <f>IFERROR(__xludf.DUMMYFUNCTION("""COMPUTED_VALUE"""),475.42)</f>
        <v>475.42</v>
      </c>
      <c r="F341" s="2">
        <f>IFERROR(__xludf.DUMMYFUNCTION("""COMPUTED_VALUE"""),9437651.0)</f>
        <v>9437651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IFERROR(__xludf.DUMMYFUNCTION("""COMPUTED_VALUE"""),477.09)</f>
        <v>477.09</v>
      </c>
      <c r="C342" s="2">
        <f>IFERROR(__xludf.DUMMYFUNCTION("""COMPUTED_VALUE"""),477.5)</f>
        <v>477.5</v>
      </c>
      <c r="D342" s="2">
        <f>IFERROR(__xludf.DUMMYFUNCTION("""COMPUTED_VALUE"""),469.6)</f>
        <v>469.6</v>
      </c>
      <c r="E342" s="2">
        <f>IFERROR(__xludf.DUMMYFUNCTION("""COMPUTED_VALUE"""),476.2)</f>
        <v>476.2</v>
      </c>
      <c r="F342" s="2">
        <f>IFERROR(__xludf.DUMMYFUNCTION("""COMPUTED_VALUE"""),1.0749999E7)</f>
        <v>10749999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IFERROR(__xludf.DUMMYFUNCTION("""COMPUTED_VALUE"""),472.75)</f>
        <v>472.75</v>
      </c>
      <c r="C343" s="2">
        <f>IFERROR(__xludf.DUMMYFUNCTION("""COMPUTED_VALUE"""),473.35)</f>
        <v>473.35</v>
      </c>
      <c r="D343" s="2">
        <f>IFERROR(__xludf.DUMMYFUNCTION("""COMPUTED_VALUE"""),462.85)</f>
        <v>462.85</v>
      </c>
      <c r="E343" s="2">
        <f>IFERROR(__xludf.DUMMYFUNCTION("""COMPUTED_VALUE"""),468.01)</f>
        <v>468.01</v>
      </c>
      <c r="F343" s="2">
        <f>IFERROR(__xludf.DUMMYFUNCTION("""COMPUTED_VALUE"""),1.4668798E7)</f>
        <v>14668798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IFERROR(__xludf.DUMMYFUNCTION("""COMPUTED_VALUE"""),463.37)</f>
        <v>463.37</v>
      </c>
      <c r="C344" s="2">
        <f>IFERROR(__xludf.DUMMYFUNCTION("""COMPUTED_VALUE"""),472.54)</f>
        <v>472.54</v>
      </c>
      <c r="D344" s="2">
        <f>IFERROR(__xludf.DUMMYFUNCTION("""COMPUTED_VALUE"""),460.08)</f>
        <v>460.08</v>
      </c>
      <c r="E344" s="2">
        <f>IFERROR(__xludf.DUMMYFUNCTION("""COMPUTED_VALUE"""),471.85)</f>
        <v>471.85</v>
      </c>
      <c r="F344" s="2">
        <f>IFERROR(__xludf.DUMMYFUNCTION("""COMPUTED_VALUE"""),1.0478553E7)</f>
        <v>10478553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IFERROR(__xludf.DUMMYFUNCTION("""COMPUTED_VALUE"""),474.98)</f>
        <v>474.98</v>
      </c>
      <c r="C345" s="2">
        <f>IFERROR(__xludf.DUMMYFUNCTION("""COMPUTED_VALUE"""),482.5)</f>
        <v>482.5</v>
      </c>
      <c r="D345" s="2">
        <f>IFERROR(__xludf.DUMMYFUNCTION("""COMPUTED_VALUE"""),471.2)</f>
        <v>471.2</v>
      </c>
      <c r="E345" s="2">
        <f>IFERROR(__xludf.DUMMYFUNCTION("""COMPUTED_VALUE"""),481.54)</f>
        <v>481.54</v>
      </c>
      <c r="F345" s="2">
        <f>IFERROR(__xludf.DUMMYFUNCTION("""COMPUTED_VALUE"""),1.310047E7)</f>
        <v>13100470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IFERROR(__xludf.DUMMYFUNCTION("""COMPUTED_VALUE"""),475.0)</f>
        <v>475</v>
      </c>
      <c r="C346" s="2">
        <f>IFERROR(__xludf.DUMMYFUNCTION("""COMPUTED_VALUE"""),477.69)</f>
        <v>477.69</v>
      </c>
      <c r="D346" s="2">
        <f>IFERROR(__xludf.DUMMYFUNCTION("""COMPUTED_VALUE"""),472.75)</f>
        <v>472.75</v>
      </c>
      <c r="E346" s="2">
        <f>IFERROR(__xludf.DUMMYFUNCTION("""COMPUTED_VALUE"""),473.23)</f>
        <v>473.23</v>
      </c>
      <c r="F346" s="2">
        <f>IFERROR(__xludf.DUMMYFUNCTION("""COMPUTED_VALUE"""),1.6608179E7)</f>
        <v>16608179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IFERROR(__xludf.DUMMYFUNCTION("""COMPUTED_VALUE"""),470.83)</f>
        <v>470.83</v>
      </c>
      <c r="C347" s="2">
        <f>IFERROR(__xludf.DUMMYFUNCTION("""COMPUTED_VALUE"""),472.8)</f>
        <v>472.8</v>
      </c>
      <c r="D347" s="2">
        <f>IFERROR(__xludf.DUMMYFUNCTION("""COMPUTED_VALUE"""),468.42)</f>
        <v>468.42</v>
      </c>
      <c r="E347" s="2">
        <f>IFERROR(__xludf.DUMMYFUNCTION("""COMPUTED_VALUE"""),471.91)</f>
        <v>471.91</v>
      </c>
      <c r="F347" s="2">
        <f>IFERROR(__xludf.DUMMYFUNCTION("""COMPUTED_VALUE"""),1.0807289E7)</f>
        <v>10807289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IFERROR(__xludf.DUMMYFUNCTION("""COMPUTED_VALUE"""),469.95)</f>
        <v>469.95</v>
      </c>
      <c r="C348" s="2">
        <f>IFERROR(__xludf.DUMMYFUNCTION("""COMPUTED_VALUE"""),473.2)</f>
        <v>473.2</v>
      </c>
      <c r="D348" s="2">
        <f>IFERROR(__xludf.DUMMYFUNCTION("""COMPUTED_VALUE"""),467.04)</f>
        <v>467.04</v>
      </c>
      <c r="E348" s="2">
        <f>IFERROR(__xludf.DUMMYFUNCTION("""COMPUTED_VALUE"""),468.84)</f>
        <v>468.84</v>
      </c>
      <c r="F348" s="2">
        <f>IFERROR(__xludf.DUMMYFUNCTION("""COMPUTED_VALUE"""),1.174508E7)</f>
        <v>11745080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IFERROR(__xludf.DUMMYFUNCTION("""COMPUTED_VALUE"""),467.12)</f>
        <v>467.12</v>
      </c>
      <c r="C349" s="2">
        <f>IFERROR(__xludf.DUMMYFUNCTION("""COMPUTED_VALUE"""),470.7)</f>
        <v>470.7</v>
      </c>
      <c r="D349" s="2">
        <f>IFERROR(__xludf.DUMMYFUNCTION("""COMPUTED_VALUE"""),462.27)</f>
        <v>462.27</v>
      </c>
      <c r="E349" s="2">
        <f>IFERROR(__xludf.DUMMYFUNCTION("""COMPUTED_VALUE"""),464.63)</f>
        <v>464.63</v>
      </c>
      <c r="F349" s="2">
        <f>IFERROR(__xludf.DUMMYFUNCTION("""COMPUTED_VALUE"""),1.1742189E7)</f>
        <v>11742189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IFERROR(__xludf.DUMMYFUNCTION("""COMPUTED_VALUE"""),467.87)</f>
        <v>467.87</v>
      </c>
      <c r="C350" s="2">
        <f>IFERROR(__xludf.DUMMYFUNCTION("""COMPUTED_VALUE"""),473.72)</f>
        <v>473.72</v>
      </c>
      <c r="D350" s="2">
        <f>IFERROR(__xludf.DUMMYFUNCTION("""COMPUTED_VALUE"""),465.65)</f>
        <v>465.65</v>
      </c>
      <c r="E350" s="2">
        <f>IFERROR(__xludf.DUMMYFUNCTION("""COMPUTED_VALUE"""),467.78)</f>
        <v>467.78</v>
      </c>
      <c r="F350" s="2">
        <f>IFERROR(__xludf.DUMMYFUNCTION("""COMPUTED_VALUE"""),1.0078611E7)</f>
        <v>10078611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IFERROR(__xludf.DUMMYFUNCTION("""COMPUTED_VALUE"""),472.88)</f>
        <v>472.88</v>
      </c>
      <c r="C351" s="2">
        <f>IFERROR(__xludf.DUMMYFUNCTION("""COMPUTED_VALUE"""),474.36)</f>
        <v>474.36</v>
      </c>
      <c r="D351" s="2">
        <f>IFERROR(__xludf.DUMMYFUNCTION("""COMPUTED_VALUE"""),461.54)</f>
        <v>461.54</v>
      </c>
      <c r="E351" s="2">
        <f>IFERROR(__xludf.DUMMYFUNCTION("""COMPUTED_VALUE"""),465.78)</f>
        <v>465.78</v>
      </c>
      <c r="F351" s="2">
        <f>IFERROR(__xludf.DUMMYFUNCTION("""COMPUTED_VALUE"""),1.1747913E7)</f>
        <v>11747913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IFERROR(__xludf.DUMMYFUNCTION("""COMPUTED_VALUE"""),467.62)</f>
        <v>467.62</v>
      </c>
      <c r="C352" s="2">
        <f>IFERROR(__xludf.DUMMYFUNCTION("""COMPUTED_VALUE"""),479.85)</f>
        <v>479.85</v>
      </c>
      <c r="D352" s="2">
        <f>IFERROR(__xludf.DUMMYFUNCTION("""COMPUTED_VALUE"""),466.3)</f>
        <v>466.3</v>
      </c>
      <c r="E352" s="2">
        <f>IFERROR(__xludf.DUMMYFUNCTION("""COMPUTED_VALUE"""),478.22)</f>
        <v>478.22</v>
      </c>
      <c r="F352" s="2">
        <f>IFERROR(__xludf.DUMMYFUNCTION("""COMPUTED_VALUE"""),1.2024254E7)</f>
        <v>12024254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IFERROR(__xludf.DUMMYFUNCTION("""COMPUTED_VALUE"""),476.58)</f>
        <v>476.58</v>
      </c>
      <c r="C353" s="2">
        <f>IFERROR(__xludf.DUMMYFUNCTION("""COMPUTED_VALUE"""),480.86)</f>
        <v>480.86</v>
      </c>
      <c r="D353" s="2">
        <f>IFERROR(__xludf.DUMMYFUNCTION("""COMPUTED_VALUE"""),474.84)</f>
        <v>474.84</v>
      </c>
      <c r="E353" s="2">
        <f>IFERROR(__xludf.DUMMYFUNCTION("""COMPUTED_VALUE"""),479.92)</f>
        <v>479.92</v>
      </c>
      <c r="F353" s="2">
        <f>IFERROR(__xludf.DUMMYFUNCTION("""COMPUTED_VALUE"""),1.017577E7)</f>
        <v>10175770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IFERROR(__xludf.DUMMYFUNCTION("""COMPUTED_VALUE"""),474.66)</f>
        <v>474.66</v>
      </c>
      <c r="C354" s="2">
        <f>IFERROR(__xludf.DUMMYFUNCTION("""COMPUTED_VALUE"""),479.85)</f>
        <v>479.85</v>
      </c>
      <c r="D354" s="2">
        <f>IFERROR(__xludf.DUMMYFUNCTION("""COMPUTED_VALUE"""),473.7)</f>
        <v>473.7</v>
      </c>
      <c r="E354" s="2">
        <f>IFERROR(__xludf.DUMMYFUNCTION("""COMPUTED_VALUE"""),474.36)</f>
        <v>474.36</v>
      </c>
      <c r="F354" s="2">
        <f>IFERROR(__xludf.DUMMYFUNCTION("""COMPUTED_VALUE"""),9226218.0)</f>
        <v>9226218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IFERROR(__xludf.DUMMYFUNCTION("""COMPUTED_VALUE"""),471.67)</f>
        <v>471.67</v>
      </c>
      <c r="C355" s="2">
        <f>IFERROR(__xludf.DUMMYFUNCTION("""COMPUTED_VALUE"""),471.73)</f>
        <v>471.73</v>
      </c>
      <c r="D355" s="2">
        <f>IFERROR(__xludf.DUMMYFUNCTION("""COMPUTED_VALUE"""),464.71)</f>
        <v>464.71</v>
      </c>
      <c r="E355" s="2">
        <f>IFERROR(__xludf.DUMMYFUNCTION("""COMPUTED_VALUE"""),467.05)</f>
        <v>467.05</v>
      </c>
      <c r="F355" s="2">
        <f>IFERROR(__xludf.DUMMYFUNCTION("""COMPUTED_VALUE"""),1.0735226E7)</f>
        <v>10735226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IFERROR(__xludf.DUMMYFUNCTION("""COMPUTED_VALUE"""),465.8)</f>
        <v>465.8</v>
      </c>
      <c r="C356" s="2">
        <f>IFERROR(__xludf.DUMMYFUNCTION("""COMPUTED_VALUE"""),469.12)</f>
        <v>469.12</v>
      </c>
      <c r="D356" s="2">
        <f>IFERROR(__xludf.DUMMYFUNCTION("""COMPUTED_VALUE"""),454.46)</f>
        <v>454.46</v>
      </c>
      <c r="E356" s="2">
        <f>IFERROR(__xludf.DUMMYFUNCTION("""COMPUTED_VALUE"""),466.83)</f>
        <v>466.83</v>
      </c>
      <c r="F356" s="2">
        <f>IFERROR(__xludf.DUMMYFUNCTION("""COMPUTED_VALUE"""),1.6919805E7)</f>
        <v>16919805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IFERROR(__xludf.DUMMYFUNCTION("""COMPUTED_VALUE"""),470.86)</f>
        <v>470.86</v>
      </c>
      <c r="C357" s="2">
        <f>IFERROR(__xludf.DUMMYFUNCTION("""COMPUTED_VALUE"""),479.6)</f>
        <v>479.6</v>
      </c>
      <c r="D357" s="2">
        <f>IFERROR(__xludf.DUMMYFUNCTION("""COMPUTED_VALUE"""),468.24)</f>
        <v>468.24</v>
      </c>
      <c r="E357" s="2">
        <f>IFERROR(__xludf.DUMMYFUNCTION("""COMPUTED_VALUE"""),477.49)</f>
        <v>477.49</v>
      </c>
      <c r="F357" s="2">
        <f>IFERROR(__xludf.DUMMYFUNCTION("""COMPUTED_VALUE"""),1.127939E7)</f>
        <v>11279390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IFERROR(__xludf.DUMMYFUNCTION("""COMPUTED_VALUE"""),477.0)</f>
        <v>477</v>
      </c>
      <c r="C358" s="2">
        <f>IFERROR(__xludf.DUMMYFUNCTION("""COMPUTED_VALUE"""),478.89)</f>
        <v>478.89</v>
      </c>
      <c r="D358" s="2">
        <f>IFERROR(__xludf.DUMMYFUNCTION("""COMPUTED_VALUE"""),473.23)</f>
        <v>473.23</v>
      </c>
      <c r="E358" s="2">
        <f>IFERROR(__xludf.DUMMYFUNCTION("""COMPUTED_VALUE"""),476.99)</f>
        <v>476.99</v>
      </c>
      <c r="F358" s="2">
        <f>IFERROR(__xludf.DUMMYFUNCTION("""COMPUTED_VALUE"""),7088718.0)</f>
        <v>7088718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IFERROR(__xludf.DUMMYFUNCTION("""COMPUTED_VALUE"""),484.45)</f>
        <v>484.45</v>
      </c>
      <c r="C359" s="2">
        <f>IFERROR(__xludf.DUMMYFUNCTION("""COMPUTED_VALUE"""),496.65)</f>
        <v>496.65</v>
      </c>
      <c r="D359" s="2">
        <f>IFERROR(__xludf.DUMMYFUNCTION("""COMPUTED_VALUE"""),483.91)</f>
        <v>483.91</v>
      </c>
      <c r="E359" s="2">
        <f>IFERROR(__xludf.DUMMYFUNCTION("""COMPUTED_VALUE"""),495.06)</f>
        <v>495.06</v>
      </c>
      <c r="F359" s="2">
        <f>IFERROR(__xludf.DUMMYFUNCTION("""COMPUTED_VALUE"""),1.5690484E7)</f>
        <v>15690484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IFERROR(__xludf.DUMMYFUNCTION("""COMPUTED_VALUE"""),492.98)</f>
        <v>492.98</v>
      </c>
      <c r="C360" s="2">
        <f>IFERROR(__xludf.DUMMYFUNCTION("""COMPUTED_VALUE"""),502.82)</f>
        <v>502.82</v>
      </c>
      <c r="D360" s="2">
        <f>IFERROR(__xludf.DUMMYFUNCTION("""COMPUTED_VALUE"""),490.89)</f>
        <v>490.89</v>
      </c>
      <c r="E360" s="2">
        <f>IFERROR(__xludf.DUMMYFUNCTION("""COMPUTED_VALUE"""),493.76)</f>
        <v>493.76</v>
      </c>
      <c r="F360" s="2">
        <f>IFERROR(__xludf.DUMMYFUNCTION("""COMPUTED_VALUE"""),1.0667339E7)</f>
        <v>10667339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IFERROR(__xludf.DUMMYFUNCTION("""COMPUTED_VALUE"""),495.91)</f>
        <v>495.91</v>
      </c>
      <c r="C361" s="2">
        <f>IFERROR(__xludf.DUMMYFUNCTION("""COMPUTED_VALUE"""),498.91)</f>
        <v>498.91</v>
      </c>
      <c r="D361" s="2">
        <f>IFERROR(__xludf.DUMMYFUNCTION("""COMPUTED_VALUE"""),490.17)</f>
        <v>490.17</v>
      </c>
      <c r="E361" s="2">
        <f>IFERROR(__xludf.DUMMYFUNCTION("""COMPUTED_VALUE"""),492.96)</f>
        <v>492.96</v>
      </c>
      <c r="F361" s="2">
        <f>IFERROR(__xludf.DUMMYFUNCTION("""COMPUTED_VALUE"""),9380745.0)</f>
        <v>9380745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IFERROR(__xludf.DUMMYFUNCTION("""COMPUTED_VALUE"""),493.86)</f>
        <v>493.86</v>
      </c>
      <c r="C362" s="2">
        <f>IFERROR(__xludf.DUMMYFUNCTION("""COMPUTED_VALUE"""),502.66)</f>
        <v>502.66</v>
      </c>
      <c r="D362" s="2">
        <f>IFERROR(__xludf.DUMMYFUNCTION("""COMPUTED_VALUE"""),493.41)</f>
        <v>493.41</v>
      </c>
      <c r="E362" s="2">
        <f>IFERROR(__xludf.DUMMYFUNCTION("""COMPUTED_VALUE"""),502.6)</f>
        <v>502.6</v>
      </c>
      <c r="F362" s="2">
        <f>IFERROR(__xludf.DUMMYFUNCTION("""COMPUTED_VALUE"""),1.1236919E7)</f>
        <v>11236919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IFERROR(__xludf.DUMMYFUNCTION("""COMPUTED_VALUE"""),500.16)</f>
        <v>500.16</v>
      </c>
      <c r="C363" s="2">
        <f>IFERROR(__xludf.DUMMYFUNCTION("""COMPUTED_VALUE"""),507.6)</f>
        <v>507.6</v>
      </c>
      <c r="D363" s="2">
        <f>IFERROR(__xludf.DUMMYFUNCTION("""COMPUTED_VALUE"""),498.27)</f>
        <v>498.27</v>
      </c>
      <c r="E363" s="2">
        <f>IFERROR(__xludf.DUMMYFUNCTION("""COMPUTED_VALUE"""),507.47)</f>
        <v>507.47</v>
      </c>
      <c r="F363" s="2">
        <f>IFERROR(__xludf.DUMMYFUNCTION("""COMPUTED_VALUE"""),9673715.0)</f>
        <v>9673715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IFERROR(__xludf.DUMMYFUNCTION("""COMPUTED_VALUE"""),513.99)</f>
        <v>513.99</v>
      </c>
      <c r="C364" s="2">
        <f>IFERROR(__xludf.DUMMYFUNCTION("""COMPUTED_VALUE"""),514.01)</f>
        <v>514.01</v>
      </c>
      <c r="D364" s="2">
        <f>IFERROR(__xludf.DUMMYFUNCTION("""COMPUTED_VALUE"""),504.47)</f>
        <v>504.47</v>
      </c>
      <c r="E364" s="2">
        <f>IFERROR(__xludf.DUMMYFUNCTION("""COMPUTED_VALUE"""),508.84)</f>
        <v>508.84</v>
      </c>
      <c r="F364" s="2">
        <f>IFERROR(__xludf.DUMMYFUNCTION("""COMPUTED_VALUE"""),1.1983227E7)</f>
        <v>11983227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IFERROR(__xludf.DUMMYFUNCTION("""COMPUTED_VALUE"""),505.71)</f>
        <v>505.71</v>
      </c>
      <c r="C365" s="2">
        <f>IFERROR(__xludf.DUMMYFUNCTION("""COMPUTED_VALUE"""),509.36)</f>
        <v>509.36</v>
      </c>
      <c r="D365" s="2">
        <f>IFERROR(__xludf.DUMMYFUNCTION("""COMPUTED_VALUE"""),501.36)</f>
        <v>501.36</v>
      </c>
      <c r="E365" s="2">
        <f>IFERROR(__xludf.DUMMYFUNCTION("""COMPUTED_VALUE"""),504.1)</f>
        <v>504.1</v>
      </c>
      <c r="F365" s="2">
        <f>IFERROR(__xludf.DUMMYFUNCTION("""COMPUTED_VALUE"""),9954621.0)</f>
        <v>9954621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IFERROR(__xludf.DUMMYFUNCTION("""COMPUTED_VALUE"""),502.65)</f>
        <v>502.65</v>
      </c>
      <c r="C366" s="2">
        <f>IFERROR(__xludf.DUMMYFUNCTION("""COMPUTED_VALUE"""),507.15)</f>
        <v>507.15</v>
      </c>
      <c r="D366" s="2">
        <f>IFERROR(__xludf.DUMMYFUNCTION("""COMPUTED_VALUE"""),500.75)</f>
        <v>500.75</v>
      </c>
      <c r="E366" s="2">
        <f>IFERROR(__xludf.DUMMYFUNCTION("""COMPUTED_VALUE"""),504.16)</f>
        <v>504.16</v>
      </c>
      <c r="F366" s="2">
        <f>IFERROR(__xludf.DUMMYFUNCTION("""COMPUTED_VALUE"""),1.0243347E7)</f>
        <v>10243347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IFERROR(__xludf.DUMMYFUNCTION("""COMPUTED_VALUE"""),501.67)</f>
        <v>501.67</v>
      </c>
      <c r="C367" s="2">
        <f>IFERROR(__xludf.DUMMYFUNCTION("""COMPUTED_VALUE"""),510.75)</f>
        <v>510.75</v>
      </c>
      <c r="D367" s="2">
        <f>IFERROR(__xludf.DUMMYFUNCTION("""COMPUTED_VALUE"""),496.01)</f>
        <v>496.01</v>
      </c>
      <c r="E367" s="2">
        <f>IFERROR(__xludf.DUMMYFUNCTION("""COMPUTED_VALUE"""),506.63)</f>
        <v>506.63</v>
      </c>
      <c r="F367" s="2">
        <f>IFERROR(__xludf.DUMMYFUNCTION("""COMPUTED_VALUE"""),1.1266601E7)</f>
        <v>11266601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IFERROR(__xludf.DUMMYFUNCTION("""COMPUTED_VALUE"""),504.56)</f>
        <v>504.56</v>
      </c>
      <c r="C368" s="2">
        <f>IFERROR(__xludf.DUMMYFUNCTION("""COMPUTED_VALUE"""),506.0)</f>
        <v>506</v>
      </c>
      <c r="D368" s="2">
        <f>IFERROR(__xludf.DUMMYFUNCTION("""COMPUTED_VALUE"""),495.02)</f>
        <v>495.02</v>
      </c>
      <c r="E368" s="2">
        <f>IFERROR(__xludf.DUMMYFUNCTION("""COMPUTED_VALUE"""),499.49)</f>
        <v>499.49</v>
      </c>
      <c r="F368" s="2">
        <f>IFERROR(__xludf.DUMMYFUNCTION("""COMPUTED_VALUE"""),1.3060425E7)</f>
        <v>13060425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IFERROR(__xludf.DUMMYFUNCTION("""COMPUTED_VALUE"""),502.0)</f>
        <v>502</v>
      </c>
      <c r="C369" s="2">
        <f>IFERROR(__xludf.DUMMYFUNCTION("""COMPUTED_VALUE"""),503.67)</f>
        <v>503.67</v>
      </c>
      <c r="D369" s="2">
        <f>IFERROR(__xludf.DUMMYFUNCTION("""COMPUTED_VALUE"""),496.77)</f>
        <v>496.77</v>
      </c>
      <c r="E369" s="2">
        <f>IFERROR(__xludf.DUMMYFUNCTION("""COMPUTED_VALUE"""),501.7)</f>
        <v>501.7</v>
      </c>
      <c r="F369" s="2">
        <f>IFERROR(__xludf.DUMMYFUNCTION("""COMPUTED_VALUE"""),1.1801182E7)</f>
        <v>11801182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IFERROR(__xludf.DUMMYFUNCTION("""COMPUTED_VALUE"""),503.45)</f>
        <v>503.45</v>
      </c>
      <c r="C370" s="2">
        <f>IFERROR(__xludf.DUMMYFUNCTION("""COMPUTED_VALUE"""),503.45)</f>
        <v>503.45</v>
      </c>
      <c r="D370" s="2">
        <f>IFERROR(__xludf.DUMMYFUNCTION("""COMPUTED_VALUE"""),492.39)</f>
        <v>492.39</v>
      </c>
      <c r="E370" s="2">
        <f>IFERROR(__xludf.DUMMYFUNCTION("""COMPUTED_VALUE"""),494.78)</f>
        <v>494.78</v>
      </c>
      <c r="F370" s="2">
        <f>IFERROR(__xludf.DUMMYFUNCTION("""COMPUTED_VALUE"""),2.3130732E7)</f>
        <v>23130732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IFERROR(__xludf.DUMMYFUNCTION("""COMPUTED_VALUE"""),499.2)</f>
        <v>499.2</v>
      </c>
      <c r="C371" s="2">
        <f>IFERROR(__xludf.DUMMYFUNCTION("""COMPUTED_VALUE"""),507.8)</f>
        <v>507.8</v>
      </c>
      <c r="D371" s="2">
        <f>IFERROR(__xludf.DUMMYFUNCTION("""COMPUTED_VALUE"""),494.29)</f>
        <v>494.29</v>
      </c>
      <c r="E371" s="2">
        <f>IFERROR(__xludf.DUMMYFUNCTION("""COMPUTED_VALUE"""),498.91)</f>
        <v>498.91</v>
      </c>
      <c r="F371" s="2">
        <f>IFERROR(__xludf.DUMMYFUNCTION("""COMPUTED_VALUE"""),1.3525278E7)</f>
        <v>13525278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IFERROR(__xludf.DUMMYFUNCTION("""COMPUTED_VALUE"""),497.05)</f>
        <v>497.05</v>
      </c>
      <c r="C372" s="2">
        <f>IFERROR(__xludf.DUMMYFUNCTION("""COMPUTED_VALUE"""),510.71)</f>
        <v>510.71</v>
      </c>
      <c r="D372" s="2">
        <f>IFERROR(__xludf.DUMMYFUNCTION("""COMPUTED_VALUE"""),495.5)</f>
        <v>495.5</v>
      </c>
      <c r="E372" s="2">
        <f>IFERROR(__xludf.DUMMYFUNCTION("""COMPUTED_VALUE"""),510.6)</f>
        <v>510.6</v>
      </c>
      <c r="F372" s="2">
        <f>IFERROR(__xludf.DUMMYFUNCTION("""COMPUTED_VALUE"""),1.2109769E7)</f>
        <v>12109769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IFERROR(__xludf.DUMMYFUNCTION("""COMPUTED_VALUE"""),506.65)</f>
        <v>506.65</v>
      </c>
      <c r="C373" s="2">
        <f>IFERROR(__xludf.DUMMYFUNCTION("""COMPUTED_VALUE"""),513.81)</f>
        <v>513.81</v>
      </c>
      <c r="D373" s="2">
        <f>IFERROR(__xludf.DUMMYFUNCTION("""COMPUTED_VALUE"""),504.68)</f>
        <v>504.68</v>
      </c>
      <c r="E373" s="2">
        <f>IFERROR(__xludf.DUMMYFUNCTION("""COMPUTED_VALUE"""),513.12)</f>
        <v>513.12</v>
      </c>
      <c r="F373" s="2">
        <f>IFERROR(__xludf.DUMMYFUNCTION("""COMPUTED_VALUE"""),8882337.0)</f>
        <v>8882337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IFERROR(__xludf.DUMMYFUNCTION("""COMPUTED_VALUE"""),514.25)</f>
        <v>514.25</v>
      </c>
      <c r="C374" s="2">
        <f>IFERROR(__xludf.DUMMYFUNCTION("""COMPUTED_VALUE"""),522.88)</f>
        <v>522.88</v>
      </c>
      <c r="D374" s="2">
        <f>IFERROR(__xludf.DUMMYFUNCTION("""COMPUTED_VALUE"""),513.9)</f>
        <v>513.9</v>
      </c>
      <c r="E374" s="2">
        <f>IFERROR(__xludf.DUMMYFUNCTION("""COMPUTED_VALUE"""),519.56)</f>
        <v>519.56</v>
      </c>
      <c r="F374" s="2">
        <f>IFERROR(__xludf.DUMMYFUNCTION("""COMPUTED_VALUE"""),1.0121199E7)</f>
        <v>10121199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IFERROR(__xludf.DUMMYFUNCTION("""COMPUTED_VALUE"""),517.15)</f>
        <v>517.15</v>
      </c>
      <c r="C375" s="2">
        <f>IFERROR(__xludf.DUMMYFUNCTION("""COMPUTED_VALUE"""),521.88)</f>
        <v>521.88</v>
      </c>
      <c r="D375" s="2">
        <f>IFERROR(__xludf.DUMMYFUNCTION("""COMPUTED_VALUE"""),503.84)</f>
        <v>503.84</v>
      </c>
      <c r="E375" s="2">
        <f>IFERROR(__xludf.DUMMYFUNCTION("""COMPUTED_VALUE"""),504.22)</f>
        <v>504.22</v>
      </c>
      <c r="F375" s="2">
        <f>IFERROR(__xludf.DUMMYFUNCTION("""COMPUTED_VALUE"""),1.5855137E7)</f>
        <v>15855137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IFERROR(__xludf.DUMMYFUNCTION("""COMPUTED_VALUE"""),504.95)</f>
        <v>504.95</v>
      </c>
      <c r="C376" s="2">
        <f>IFERROR(__xludf.DUMMYFUNCTION("""COMPUTED_VALUE"""),506.58)</f>
        <v>506.58</v>
      </c>
      <c r="D376" s="2">
        <f>IFERROR(__xludf.DUMMYFUNCTION("""COMPUTED_VALUE"""),493.17)</f>
        <v>493.17</v>
      </c>
      <c r="E376" s="2">
        <f>IFERROR(__xludf.DUMMYFUNCTION("""COMPUTED_VALUE"""),504.68)</f>
        <v>504.68</v>
      </c>
      <c r="F376" s="2">
        <f>IFERROR(__xludf.DUMMYFUNCTION("""COMPUTED_VALUE"""),1.032815E7)</f>
        <v>10328150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IFERROR(__xludf.DUMMYFUNCTION("""COMPUTED_VALUE"""),500.76)</f>
        <v>500.76</v>
      </c>
      <c r="C377" s="2">
        <f>IFERROR(__xludf.DUMMYFUNCTION("""COMPUTED_VALUE"""),510.5)</f>
        <v>510.5</v>
      </c>
      <c r="D377" s="2">
        <f>IFERROR(__xludf.DUMMYFUNCTION("""COMPUTED_VALUE"""),499.45)</f>
        <v>499.45</v>
      </c>
      <c r="E377" s="2">
        <f>IFERROR(__xludf.DUMMYFUNCTION("""COMPUTED_VALUE"""),509.5)</f>
        <v>509.5</v>
      </c>
      <c r="F377" s="2">
        <f>IFERROR(__xludf.DUMMYFUNCTION("""COMPUTED_VALUE"""),7739479.0)</f>
        <v>7739479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IFERROR(__xludf.DUMMYFUNCTION("""COMPUTED_VALUE"""),506.37)</f>
        <v>506.37</v>
      </c>
      <c r="C378" s="2">
        <f>IFERROR(__xludf.DUMMYFUNCTION("""COMPUTED_VALUE"""),511.28)</f>
        <v>511.28</v>
      </c>
      <c r="D378" s="2">
        <f>IFERROR(__xludf.DUMMYFUNCTION("""COMPUTED_VALUE"""),506.02)</f>
        <v>506.02</v>
      </c>
      <c r="E378" s="2">
        <f>IFERROR(__xludf.DUMMYFUNCTION("""COMPUTED_VALUE"""),509.96)</f>
        <v>509.96</v>
      </c>
      <c r="F378" s="2">
        <f>IFERROR(__xludf.DUMMYFUNCTION("""COMPUTED_VALUE"""),6005615.0)</f>
        <v>6005615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IFERROR(__xludf.DUMMYFUNCTION("""COMPUTED_VALUE"""),511.6)</f>
        <v>511.6</v>
      </c>
      <c r="C379" s="2">
        <f>IFERROR(__xludf.DUMMYFUNCTION("""COMPUTED_VALUE"""),540.87)</f>
        <v>540.87</v>
      </c>
      <c r="D379" s="2">
        <f>IFERROR(__xludf.DUMMYFUNCTION("""COMPUTED_VALUE"""),511.6)</f>
        <v>511.6</v>
      </c>
      <c r="E379" s="2">
        <f>IFERROR(__xludf.DUMMYFUNCTION("""COMPUTED_VALUE"""),539.91)</f>
        <v>539.91</v>
      </c>
      <c r="F379" s="2">
        <f>IFERROR(__xludf.DUMMYFUNCTION("""COMPUTED_VALUE"""),2.1354093E7)</f>
        <v>21354093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IFERROR(__xludf.DUMMYFUNCTION("""COMPUTED_VALUE"""),542.35)</f>
        <v>542.35</v>
      </c>
      <c r="C380" s="2">
        <f>IFERROR(__xludf.DUMMYFUNCTION("""COMPUTED_VALUE"""),542.81)</f>
        <v>542.81</v>
      </c>
      <c r="D380" s="2">
        <f>IFERROR(__xludf.DUMMYFUNCTION("""COMPUTED_VALUE"""),526.65)</f>
        <v>526.65</v>
      </c>
      <c r="E380" s="2">
        <f>IFERROR(__xludf.DUMMYFUNCTION("""COMPUTED_VALUE"""),529.32)</f>
        <v>529.32</v>
      </c>
      <c r="F380" s="2">
        <f>IFERROR(__xludf.DUMMYFUNCTION("""COMPUTED_VALUE"""),1.4917495E7)</f>
        <v>14917495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IFERROR(__xludf.DUMMYFUNCTION("""COMPUTED_VALUE"""),533.75)</f>
        <v>533.75</v>
      </c>
      <c r="C381" s="2">
        <f>IFERROR(__xludf.DUMMYFUNCTION("""COMPUTED_VALUE"""),537.48)</f>
        <v>537.48</v>
      </c>
      <c r="D381" s="2">
        <f>IFERROR(__xludf.DUMMYFUNCTION("""COMPUTED_VALUE"""),528.19)</f>
        <v>528.19</v>
      </c>
      <c r="E381" s="2">
        <f>IFERROR(__xludf.DUMMYFUNCTION("""COMPUTED_VALUE"""),530.0)</f>
        <v>530</v>
      </c>
      <c r="F381" s="2">
        <f>IFERROR(__xludf.DUMMYFUNCTION("""COMPUTED_VALUE"""),8769088.0)</f>
        <v>8769088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IFERROR(__xludf.DUMMYFUNCTION("""COMPUTED_VALUE"""),530.79)</f>
        <v>530.79</v>
      </c>
      <c r="C382" s="2">
        <f>IFERROR(__xludf.DUMMYFUNCTION("""COMPUTED_VALUE"""),538.88)</f>
        <v>538.88</v>
      </c>
      <c r="D382" s="2">
        <f>IFERROR(__xludf.DUMMYFUNCTION("""COMPUTED_VALUE"""),528.36)</f>
        <v>528.36</v>
      </c>
      <c r="E382" s="2">
        <f>IFERROR(__xludf.DUMMYFUNCTION("""COMPUTED_VALUE"""),534.69)</f>
        <v>534.69</v>
      </c>
      <c r="F382" s="2">
        <f>IFERROR(__xludf.DUMMYFUNCTION("""COMPUTED_VALUE"""),1.0983276E7)</f>
        <v>10983276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IFERROR(__xludf.DUMMYFUNCTION("""COMPUTED_VALUE"""),530.89)</f>
        <v>530.89</v>
      </c>
      <c r="C383" s="2">
        <f>IFERROR(__xludf.DUMMYFUNCTION("""COMPUTED_VALUE"""),535.46)</f>
        <v>535.46</v>
      </c>
      <c r="D383" s="2">
        <f>IFERROR(__xludf.DUMMYFUNCTION("""COMPUTED_VALUE"""),508.37)</f>
        <v>508.37</v>
      </c>
      <c r="E383" s="2">
        <f>IFERROR(__xludf.DUMMYFUNCTION("""COMPUTED_VALUE"""),512.7)</f>
        <v>512.7</v>
      </c>
      <c r="F383" s="2">
        <f>IFERROR(__xludf.DUMMYFUNCTION("""COMPUTED_VALUE"""),1.6458253E7)</f>
        <v>16458253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IFERROR(__xludf.DUMMYFUNCTION("""COMPUTED_VALUE"""),497.76)</f>
        <v>497.76</v>
      </c>
      <c r="C384" s="2">
        <f>IFERROR(__xludf.DUMMYFUNCTION("""COMPUTED_VALUE"""),508.09)</f>
        <v>508.09</v>
      </c>
      <c r="D384" s="2">
        <f>IFERROR(__xludf.DUMMYFUNCTION("""COMPUTED_VALUE"""),494.23)</f>
        <v>494.23</v>
      </c>
      <c r="E384" s="2">
        <f>IFERROR(__xludf.DUMMYFUNCTION("""COMPUTED_VALUE"""),498.87)</f>
        <v>498.87</v>
      </c>
      <c r="F384" s="2">
        <f>IFERROR(__xludf.DUMMYFUNCTION("""COMPUTED_VALUE"""),1.9750544E7)</f>
        <v>19750544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IFERROR(__xludf.DUMMYFUNCTION("""COMPUTED_VALUE"""),498.63)</f>
        <v>498.63</v>
      </c>
      <c r="C385" s="2">
        <f>IFERROR(__xludf.DUMMYFUNCTION("""COMPUTED_VALUE"""),506.68)</f>
        <v>506.68</v>
      </c>
      <c r="D385" s="2">
        <f>IFERROR(__xludf.DUMMYFUNCTION("""COMPUTED_VALUE"""),493.37)</f>
        <v>493.37</v>
      </c>
      <c r="E385" s="2">
        <f>IFERROR(__xludf.DUMMYFUNCTION("""COMPUTED_VALUE"""),496.16)</f>
        <v>496.16</v>
      </c>
      <c r="F385" s="2">
        <f>IFERROR(__xludf.DUMMYFUNCTION("""COMPUTED_VALUE"""),1.2539163E7)</f>
        <v>12539163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IFERROR(__xludf.DUMMYFUNCTION("""COMPUTED_VALUE"""),501.5)</f>
        <v>501.5</v>
      </c>
      <c r="C386" s="2">
        <f>IFERROR(__xludf.DUMMYFUNCTION("""COMPUTED_VALUE"""),503.95)</f>
        <v>503.95</v>
      </c>
      <c r="D386" s="2">
        <f>IFERROR(__xludf.DUMMYFUNCTION("""COMPUTED_VALUE"""),485.79)</f>
        <v>485.79</v>
      </c>
      <c r="E386" s="2">
        <f>IFERROR(__xludf.DUMMYFUNCTION("""COMPUTED_VALUE"""),489.79)</f>
        <v>489.79</v>
      </c>
      <c r="F386" s="2">
        <f>IFERROR(__xludf.DUMMYFUNCTION("""COMPUTED_VALUE"""),1.4075833E7)</f>
        <v>14075833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IFERROR(__xludf.DUMMYFUNCTION("""COMPUTED_VALUE"""),479.17)</f>
        <v>479.17</v>
      </c>
      <c r="C387" s="2">
        <f>IFERROR(__xludf.DUMMYFUNCTION("""COMPUTED_VALUE"""),479.17)</f>
        <v>479.17</v>
      </c>
      <c r="D387" s="2">
        <f>IFERROR(__xludf.DUMMYFUNCTION("""COMPUTED_VALUE"""),459.12)</f>
        <v>459.12</v>
      </c>
      <c r="E387" s="2">
        <f>IFERROR(__xludf.DUMMYFUNCTION("""COMPUTED_VALUE"""),461.99)</f>
        <v>461.99</v>
      </c>
      <c r="F387" s="2">
        <f>IFERROR(__xludf.DUMMYFUNCTION("""COMPUTED_VALUE"""),2.8076595E7)</f>
        <v>28076595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IFERROR(__xludf.DUMMYFUNCTION("""COMPUTED_VALUE"""),475.0)</f>
        <v>475</v>
      </c>
      <c r="C388" s="2">
        <f>IFERROR(__xludf.DUMMYFUNCTION("""COMPUTED_VALUE"""),479.24)</f>
        <v>479.24</v>
      </c>
      <c r="D388" s="2">
        <f>IFERROR(__xludf.DUMMYFUNCTION("""COMPUTED_VALUE"""),464.54)</f>
        <v>464.54</v>
      </c>
      <c r="E388" s="2">
        <f>IFERROR(__xludf.DUMMYFUNCTION("""COMPUTED_VALUE"""),475.85)</f>
        <v>475.85</v>
      </c>
      <c r="F388" s="2">
        <f>IFERROR(__xludf.DUMMYFUNCTION("""COMPUTED_VALUE"""),1.926716E7)</f>
        <v>19267160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IFERROR(__xludf.DUMMYFUNCTION("""COMPUTED_VALUE"""),476.06)</f>
        <v>476.06</v>
      </c>
      <c r="C389" s="2">
        <f>IFERROR(__xludf.DUMMYFUNCTION("""COMPUTED_VALUE"""),486.71)</f>
        <v>486.71</v>
      </c>
      <c r="D389" s="2">
        <f>IFERROR(__xludf.DUMMYFUNCTION("""COMPUTED_VALUE"""),475.71)</f>
        <v>475.71</v>
      </c>
      <c r="E389" s="2">
        <f>IFERROR(__xludf.DUMMYFUNCTION("""COMPUTED_VALUE"""),476.79)</f>
        <v>476.79</v>
      </c>
      <c r="F389" s="2">
        <f>IFERROR(__xludf.DUMMYFUNCTION("""COMPUTED_VALUE"""),1.5149416E7)</f>
        <v>15149416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IFERROR(__xludf.DUMMYFUNCTION("""COMPUTED_VALUE"""),486.58)</f>
        <v>486.58</v>
      </c>
      <c r="C390" s="2">
        <f>IFERROR(__xludf.DUMMYFUNCTION("""COMPUTED_VALUE"""),492.06)</f>
        <v>492.06</v>
      </c>
      <c r="D390" s="2">
        <f>IFERROR(__xludf.DUMMYFUNCTION("""COMPUTED_VALUE"""),483.9)</f>
        <v>483.9</v>
      </c>
      <c r="E390" s="2">
        <f>IFERROR(__xludf.DUMMYFUNCTION("""COMPUTED_VALUE"""),487.4)</f>
        <v>487.4</v>
      </c>
      <c r="F390" s="2">
        <f>IFERROR(__xludf.DUMMYFUNCTION("""COMPUTED_VALUE"""),1.2023088E7)</f>
        <v>12023088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IFERROR(__xludf.DUMMYFUNCTION("""COMPUTED_VALUE"""),489.84)</f>
        <v>489.84</v>
      </c>
      <c r="C391" s="2">
        <f>IFERROR(__xludf.DUMMYFUNCTION("""COMPUTED_VALUE"""),495.22)</f>
        <v>495.22</v>
      </c>
      <c r="D391" s="2">
        <f>IFERROR(__xludf.DUMMYFUNCTION("""COMPUTED_VALUE"""),487.72)</f>
        <v>487.72</v>
      </c>
      <c r="E391" s="2">
        <f>IFERROR(__xludf.DUMMYFUNCTION("""COMPUTED_VALUE"""),488.69)</f>
        <v>488.69</v>
      </c>
      <c r="F391" s="2">
        <f>IFERROR(__xludf.DUMMYFUNCTION("""COMPUTED_VALUE"""),9455527.0)</f>
        <v>9455527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IFERROR(__xludf.DUMMYFUNCTION("""COMPUTED_VALUE"""),472.31)</f>
        <v>472.31</v>
      </c>
      <c r="C392" s="2">
        <f>IFERROR(__xludf.DUMMYFUNCTION("""COMPUTED_VALUE"""),476.3)</f>
        <v>476.3</v>
      </c>
      <c r="D392" s="2">
        <f>IFERROR(__xludf.DUMMYFUNCTION("""COMPUTED_VALUE"""),460.58)</f>
        <v>460.58</v>
      </c>
      <c r="E392" s="2">
        <f>IFERROR(__xludf.DUMMYFUNCTION("""COMPUTED_VALUE"""),461.27)</f>
        <v>461.27</v>
      </c>
      <c r="F392" s="2">
        <f>IFERROR(__xludf.DUMMYFUNCTION("""COMPUTED_VALUE"""),1.7649738E7)</f>
        <v>17649738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IFERROR(__xludf.DUMMYFUNCTION("""COMPUTED_VALUE"""),463.26)</f>
        <v>463.26</v>
      </c>
      <c r="C393" s="2">
        <f>IFERROR(__xludf.DUMMYFUNCTION("""COMPUTED_VALUE"""),463.55)</f>
        <v>463.55</v>
      </c>
      <c r="D393" s="2">
        <f>IFERROR(__xludf.DUMMYFUNCTION("""COMPUTED_VALUE"""),442.65)</f>
        <v>442.65</v>
      </c>
      <c r="E393" s="2">
        <f>IFERROR(__xludf.DUMMYFUNCTION("""COMPUTED_VALUE"""),453.41)</f>
        <v>453.41</v>
      </c>
      <c r="F393" s="2">
        <f>IFERROR(__xludf.DUMMYFUNCTION("""COMPUTED_VALUE"""),1.8240489E7)</f>
        <v>18240489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IFERROR(__xludf.DUMMYFUNCTION("""COMPUTED_VALUE"""),464.2)</f>
        <v>464.2</v>
      </c>
      <c r="C394" s="2">
        <f>IFERROR(__xludf.DUMMYFUNCTION("""COMPUTED_VALUE"""),469.77)</f>
        <v>469.77</v>
      </c>
      <c r="D394" s="2">
        <f>IFERROR(__xludf.DUMMYFUNCTION("""COMPUTED_VALUE"""),459.42)</f>
        <v>459.42</v>
      </c>
      <c r="E394" s="2">
        <f>IFERROR(__xludf.DUMMYFUNCTION("""COMPUTED_VALUE"""),465.7)</f>
        <v>465.7</v>
      </c>
      <c r="F394" s="2">
        <f>IFERROR(__xludf.DUMMYFUNCTION("""COMPUTED_VALUE"""),1.4222388E7)</f>
        <v>14222388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IFERROR(__xludf.DUMMYFUNCTION("""COMPUTED_VALUE"""),469.88)</f>
        <v>469.88</v>
      </c>
      <c r="C395" s="2">
        <f>IFERROR(__xludf.DUMMYFUNCTION("""COMPUTED_VALUE"""),473.96)</f>
        <v>473.96</v>
      </c>
      <c r="D395" s="2">
        <f>IFERROR(__xludf.DUMMYFUNCTION("""COMPUTED_VALUE"""),465.02)</f>
        <v>465.02</v>
      </c>
      <c r="E395" s="2">
        <f>IFERROR(__xludf.DUMMYFUNCTION("""COMPUTED_VALUE"""),465.71)</f>
        <v>465.71</v>
      </c>
      <c r="F395" s="2">
        <f>IFERROR(__xludf.DUMMYFUNCTION("""COMPUTED_VALUE"""),1.133963E7)</f>
        <v>11339630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IFERROR(__xludf.DUMMYFUNCTION("""COMPUTED_VALUE"""),467.0)</f>
        <v>467</v>
      </c>
      <c r="C396" s="2">
        <f>IFERROR(__xludf.DUMMYFUNCTION("""COMPUTED_VALUE"""),472.73)</f>
        <v>472.73</v>
      </c>
      <c r="D396" s="2">
        <f>IFERROR(__xludf.DUMMYFUNCTION("""COMPUTED_VALUE"""),456.7)</f>
        <v>456.7</v>
      </c>
      <c r="E396" s="2">
        <f>IFERROR(__xludf.DUMMYFUNCTION("""COMPUTED_VALUE"""),463.19)</f>
        <v>463.19</v>
      </c>
      <c r="F396" s="2">
        <f>IFERROR(__xludf.DUMMYFUNCTION("""COMPUTED_VALUE"""),1.1390439E7)</f>
        <v>11390439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IFERROR(__xludf.DUMMYFUNCTION("""COMPUTED_VALUE"""),471.02)</f>
        <v>471.02</v>
      </c>
      <c r="C397" s="2">
        <f>IFERROR(__xludf.DUMMYFUNCTION("""COMPUTED_VALUE"""),476.5)</f>
        <v>476.5</v>
      </c>
      <c r="D397" s="2">
        <f>IFERROR(__xludf.DUMMYFUNCTION("""COMPUTED_VALUE"""),466.75)</f>
        <v>466.75</v>
      </c>
      <c r="E397" s="2">
        <f>IFERROR(__xludf.DUMMYFUNCTION("""COMPUTED_VALUE"""),474.83)</f>
        <v>474.83</v>
      </c>
      <c r="F397" s="2">
        <f>IFERROR(__xludf.DUMMYFUNCTION("""COMPUTED_VALUE"""),2.4285777E7)</f>
        <v>24285777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IFERROR(__xludf.DUMMYFUNCTION("""COMPUTED_VALUE"""),521.0)</f>
        <v>521</v>
      </c>
      <c r="C398" s="2">
        <f>IFERROR(__xludf.DUMMYFUNCTION("""COMPUTED_VALUE"""),527.17)</f>
        <v>527.17</v>
      </c>
      <c r="D398" s="2">
        <f>IFERROR(__xludf.DUMMYFUNCTION("""COMPUTED_VALUE"""),492.1)</f>
        <v>492.1</v>
      </c>
      <c r="E398" s="2">
        <f>IFERROR(__xludf.DUMMYFUNCTION("""COMPUTED_VALUE"""),497.74)</f>
        <v>497.74</v>
      </c>
      <c r="F398" s="2">
        <f>IFERROR(__xludf.DUMMYFUNCTION("""COMPUTED_VALUE"""),4.3083082E7)</f>
        <v>43083082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IFERROR(__xludf.DUMMYFUNCTION("""COMPUTED_VALUE"""),489.0)</f>
        <v>489</v>
      </c>
      <c r="C399" s="2">
        <f>IFERROR(__xludf.DUMMYFUNCTION("""COMPUTED_VALUE"""),501.15)</f>
        <v>501.15</v>
      </c>
      <c r="D399" s="2">
        <f>IFERROR(__xludf.DUMMYFUNCTION("""COMPUTED_VALUE"""),476.15)</f>
        <v>476.15</v>
      </c>
      <c r="E399" s="2">
        <f>IFERROR(__xludf.DUMMYFUNCTION("""COMPUTED_VALUE"""),488.14)</f>
        <v>488.14</v>
      </c>
      <c r="F399" s="2">
        <f>IFERROR(__xludf.DUMMYFUNCTION("""COMPUTED_VALUE"""),2.4044658E7)</f>
        <v>24044658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IFERROR(__xludf.DUMMYFUNCTION("""COMPUTED_VALUE"""),451.35)</f>
        <v>451.35</v>
      </c>
      <c r="C400" s="2">
        <f>IFERROR(__xludf.DUMMYFUNCTION("""COMPUTED_VALUE"""),483.48)</f>
        <v>483.48</v>
      </c>
      <c r="D400" s="2">
        <f>IFERROR(__xludf.DUMMYFUNCTION("""COMPUTED_VALUE"""),450.8)</f>
        <v>450.8</v>
      </c>
      <c r="E400" s="2">
        <f>IFERROR(__xludf.DUMMYFUNCTION("""COMPUTED_VALUE"""),475.73)</f>
        <v>475.73</v>
      </c>
      <c r="F400" s="2">
        <f>IFERROR(__xludf.DUMMYFUNCTION("""COMPUTED_VALUE"""),2.1396191E7)</f>
        <v>21396191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IFERROR(__xludf.DUMMYFUNCTION("""COMPUTED_VALUE"""),479.0)</f>
        <v>479</v>
      </c>
      <c r="C401" s="2">
        <f>IFERROR(__xludf.DUMMYFUNCTION("""COMPUTED_VALUE"""),502.56)</f>
        <v>502.56</v>
      </c>
      <c r="D401" s="2">
        <f>IFERROR(__xludf.DUMMYFUNCTION("""COMPUTED_VALUE"""),478.65)</f>
        <v>478.65</v>
      </c>
      <c r="E401" s="2">
        <f>IFERROR(__xludf.DUMMYFUNCTION("""COMPUTED_VALUE"""),494.09)</f>
        <v>494.09</v>
      </c>
      <c r="F401" s="2">
        <f>IFERROR(__xludf.DUMMYFUNCTION("""COMPUTED_VALUE"""),2.0954959E7)</f>
        <v>20954959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IFERROR(__xludf.DUMMYFUNCTION("""COMPUTED_VALUE"""),503.13)</f>
        <v>503.13</v>
      </c>
      <c r="C402" s="2">
        <f>IFERROR(__xludf.DUMMYFUNCTION("""COMPUTED_VALUE"""),510.15)</f>
        <v>510.15</v>
      </c>
      <c r="D402" s="2">
        <f>IFERROR(__xludf.DUMMYFUNCTION("""COMPUTED_VALUE"""),486.86)</f>
        <v>486.86</v>
      </c>
      <c r="E402" s="2">
        <f>IFERROR(__xludf.DUMMYFUNCTION("""COMPUTED_VALUE"""),488.92)</f>
        <v>488.92</v>
      </c>
      <c r="F402" s="2">
        <f>IFERROR(__xludf.DUMMYFUNCTION("""COMPUTED_VALUE"""),2.0105307E7)</f>
        <v>20105307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IFERROR(__xludf.DUMMYFUNCTION("""COMPUTED_VALUE"""),497.5)</f>
        <v>497.5</v>
      </c>
      <c r="C403" s="2">
        <f>IFERROR(__xludf.DUMMYFUNCTION("""COMPUTED_VALUE"""),509.96)</f>
        <v>509.96</v>
      </c>
      <c r="D403" s="2">
        <f>IFERROR(__xludf.DUMMYFUNCTION("""COMPUTED_VALUE"""),494.72)</f>
        <v>494.72</v>
      </c>
      <c r="E403" s="2">
        <f>IFERROR(__xludf.DUMMYFUNCTION("""COMPUTED_VALUE"""),509.63)</f>
        <v>509.63</v>
      </c>
      <c r="F403" s="2">
        <f>IFERROR(__xludf.DUMMYFUNCTION("""COMPUTED_VALUE"""),1.6156843E7)</f>
        <v>16156843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IFERROR(__xludf.DUMMYFUNCTION("""COMPUTED_VALUE"""),507.71)</f>
        <v>507.71</v>
      </c>
      <c r="C404" s="2">
        <f>IFERROR(__xludf.DUMMYFUNCTION("""COMPUTED_VALUE"""),518.34)</f>
        <v>518.34</v>
      </c>
      <c r="D404" s="2">
        <f>IFERROR(__xludf.DUMMYFUNCTION("""COMPUTED_VALUE"""),505.7)</f>
        <v>505.7</v>
      </c>
      <c r="E404" s="2">
        <f>IFERROR(__xludf.DUMMYFUNCTION("""COMPUTED_VALUE"""),517.77)</f>
        <v>517.77</v>
      </c>
      <c r="F404" s="2">
        <f>IFERROR(__xludf.DUMMYFUNCTION("""COMPUTED_VALUE"""),1.369664E7)</f>
        <v>13696640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IFERROR(__xludf.DUMMYFUNCTION("""COMPUTED_VALUE"""),516.86)</f>
        <v>516.86</v>
      </c>
      <c r="C405" s="2">
        <f>IFERROR(__xludf.DUMMYFUNCTION("""COMPUTED_VALUE"""),518.02)</f>
        <v>518.02</v>
      </c>
      <c r="D405" s="2">
        <f>IFERROR(__xludf.DUMMYFUNCTION("""COMPUTED_VALUE"""),509.1)</f>
        <v>509.1</v>
      </c>
      <c r="E405" s="2">
        <f>IFERROR(__xludf.DUMMYFUNCTION("""COMPUTED_VALUE"""),515.95)</f>
        <v>515.95</v>
      </c>
      <c r="F405" s="2">
        <f>IFERROR(__xludf.DUMMYFUNCTION("""COMPUTED_VALUE"""),9767422.0)</f>
        <v>9767422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IFERROR(__xludf.DUMMYFUNCTION("""COMPUTED_VALUE"""),520.01)</f>
        <v>520.01</v>
      </c>
      <c r="C406" s="2">
        <f>IFERROR(__xludf.DUMMYFUNCTION("""COMPUTED_VALUE"""),531.5)</f>
        <v>531.5</v>
      </c>
      <c r="D406" s="2">
        <f>IFERROR(__xludf.DUMMYFUNCTION("""COMPUTED_VALUE"""),518.15)</f>
        <v>518.15</v>
      </c>
      <c r="E406" s="2">
        <f>IFERROR(__xludf.DUMMYFUNCTION("""COMPUTED_VALUE"""),528.54)</f>
        <v>528.54</v>
      </c>
      <c r="F406" s="2">
        <f>IFERROR(__xludf.DUMMYFUNCTION("""COMPUTED_VALUE"""),1.3743839E7)</f>
        <v>13743839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IFERROR(__xludf.DUMMYFUNCTION("""COMPUTED_VALUE"""),528.06)</f>
        <v>528.06</v>
      </c>
      <c r="C407" s="2">
        <f>IFERROR(__xludf.DUMMYFUNCTION("""COMPUTED_VALUE"""),534.0)</f>
        <v>534</v>
      </c>
      <c r="D407" s="2">
        <f>IFERROR(__xludf.DUMMYFUNCTION("""COMPUTED_VALUE"""),523.13)</f>
        <v>523.13</v>
      </c>
      <c r="E407" s="2">
        <f>IFERROR(__xludf.DUMMYFUNCTION("""COMPUTED_VALUE"""),526.76)</f>
        <v>526.76</v>
      </c>
      <c r="F407" s="2">
        <f>IFERROR(__xludf.DUMMYFUNCTION("""COMPUTED_VALUE"""),1.1444189E7)</f>
        <v>11444189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IFERROR(__xludf.DUMMYFUNCTION("""COMPUTED_VALUE"""),531.79)</f>
        <v>531.79</v>
      </c>
      <c r="C408" s="2">
        <f>IFERROR(__xludf.DUMMYFUNCTION("""COMPUTED_VALUE"""),539.77)</f>
        <v>539.77</v>
      </c>
      <c r="D408" s="2">
        <f>IFERROR(__xludf.DUMMYFUNCTION("""COMPUTED_VALUE"""),526.7)</f>
        <v>526.7</v>
      </c>
      <c r="E408" s="2">
        <f>IFERROR(__xludf.DUMMYFUNCTION("""COMPUTED_VALUE"""),537.33)</f>
        <v>537.33</v>
      </c>
      <c r="F408" s="2">
        <f>IFERROR(__xludf.DUMMYFUNCTION("""COMPUTED_VALUE"""),1.3482141E7)</f>
        <v>13482141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IFERROR(__xludf.DUMMYFUNCTION("""COMPUTED_VALUE"""),531.9)</f>
        <v>531.9</v>
      </c>
      <c r="C409" s="2">
        <f>IFERROR(__xludf.DUMMYFUNCTION("""COMPUTED_VALUE"""),533.66)</f>
        <v>533.66</v>
      </c>
      <c r="D409" s="2">
        <f>IFERROR(__xludf.DUMMYFUNCTION("""COMPUTED_VALUE"""),524.66)</f>
        <v>524.66</v>
      </c>
      <c r="E409" s="2">
        <f>IFERROR(__xludf.DUMMYFUNCTION("""COMPUTED_VALUE"""),527.42)</f>
        <v>527.42</v>
      </c>
      <c r="F409" s="2">
        <f>IFERROR(__xludf.DUMMYFUNCTION("""COMPUTED_VALUE"""),1.4776684E7)</f>
        <v>14776684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IFERROR(__xludf.DUMMYFUNCTION("""COMPUTED_VALUE"""),526.87)</f>
        <v>526.87</v>
      </c>
      <c r="C410" s="2">
        <f>IFERROR(__xludf.DUMMYFUNCTION("""COMPUTED_VALUE"""),531.66)</f>
        <v>531.66</v>
      </c>
      <c r="D410" s="2">
        <f>IFERROR(__xludf.DUMMYFUNCTION("""COMPUTED_VALUE"""),522.76)</f>
        <v>522.76</v>
      </c>
      <c r="E410" s="2">
        <f>IFERROR(__xludf.DUMMYFUNCTION("""COMPUTED_VALUE"""),529.28)</f>
        <v>529.28</v>
      </c>
      <c r="F410" s="2">
        <f>IFERROR(__xludf.DUMMYFUNCTION("""COMPUTED_VALUE"""),9879713.0)</f>
        <v>9879713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IFERROR(__xludf.DUMMYFUNCTION("""COMPUTED_VALUE"""),528.35)</f>
        <v>528.35</v>
      </c>
      <c r="C411" s="2">
        <f>IFERROR(__xludf.DUMMYFUNCTION("""COMPUTED_VALUE"""),531.09)</f>
        <v>531.09</v>
      </c>
      <c r="D411" s="2">
        <f>IFERROR(__xludf.DUMMYFUNCTION("""COMPUTED_VALUE"""),525.88)</f>
        <v>525.88</v>
      </c>
      <c r="E411" s="2">
        <f>IFERROR(__xludf.DUMMYFUNCTION("""COMPUTED_VALUE"""),526.73)</f>
        <v>526.73</v>
      </c>
      <c r="F411" s="2">
        <f>IFERROR(__xludf.DUMMYFUNCTION("""COMPUTED_VALUE"""),7944391.0)</f>
        <v>7944391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IFERROR(__xludf.DUMMYFUNCTION("""COMPUTED_VALUE"""),527.15)</f>
        <v>527.15</v>
      </c>
      <c r="C412" s="2">
        <f>IFERROR(__xludf.DUMMYFUNCTION("""COMPUTED_VALUE"""),539.4)</f>
        <v>539.4</v>
      </c>
      <c r="D412" s="2">
        <f>IFERROR(__xludf.DUMMYFUNCTION("""COMPUTED_VALUE"""),526.93)</f>
        <v>526.93</v>
      </c>
      <c r="E412" s="2">
        <f>IFERROR(__xludf.DUMMYFUNCTION("""COMPUTED_VALUE"""),535.16)</f>
        <v>535.16</v>
      </c>
      <c r="F412" s="2">
        <f>IFERROR(__xludf.DUMMYFUNCTION("""COMPUTED_VALUE"""),1.3423292E7)</f>
        <v>13423292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IFERROR(__xludf.DUMMYFUNCTION("""COMPUTED_VALUE"""),537.0)</f>
        <v>537</v>
      </c>
      <c r="C413" s="2">
        <f>IFERROR(__xludf.DUMMYFUNCTION("""COMPUTED_VALUE"""),544.23)</f>
        <v>544.23</v>
      </c>
      <c r="D413" s="2">
        <f>IFERROR(__xludf.DUMMYFUNCTION("""COMPUTED_VALUE"""),528.59)</f>
        <v>528.59</v>
      </c>
      <c r="E413" s="2">
        <f>IFERROR(__xludf.DUMMYFUNCTION("""COMPUTED_VALUE"""),531.93)</f>
        <v>531.93</v>
      </c>
      <c r="F413" s="2">
        <f>IFERROR(__xludf.DUMMYFUNCTION("""COMPUTED_VALUE"""),1.5708292E7)</f>
        <v>15708292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IFERROR(__xludf.DUMMYFUNCTION("""COMPUTED_VALUE"""),536.92)</f>
        <v>536.92</v>
      </c>
      <c r="C414" s="2">
        <f>IFERROR(__xludf.DUMMYFUNCTION("""COMPUTED_VALUE"""),539.87)</f>
        <v>539.87</v>
      </c>
      <c r="D414" s="2">
        <f>IFERROR(__xludf.DUMMYFUNCTION("""COMPUTED_VALUE"""),525.06)</f>
        <v>525.06</v>
      </c>
      <c r="E414" s="2">
        <f>IFERROR(__xludf.DUMMYFUNCTION("""COMPUTED_VALUE"""),528.0)</f>
        <v>528</v>
      </c>
      <c r="F414" s="2">
        <f>IFERROR(__xludf.DUMMYFUNCTION("""COMPUTED_VALUE"""),1.1323936E7)</f>
        <v>11323936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IFERROR(__xludf.DUMMYFUNCTION("""COMPUTED_VALUE"""),527.6)</f>
        <v>527.6</v>
      </c>
      <c r="C415" s="2">
        <f>IFERROR(__xludf.DUMMYFUNCTION("""COMPUTED_VALUE"""),528.0)</f>
        <v>528</v>
      </c>
      <c r="D415" s="2">
        <f>IFERROR(__xludf.DUMMYFUNCTION("""COMPUTED_VALUE"""),514.95)</f>
        <v>514.95</v>
      </c>
      <c r="E415" s="2">
        <f>IFERROR(__xludf.DUMMYFUNCTION("""COMPUTED_VALUE"""),521.12)</f>
        <v>521.12</v>
      </c>
      <c r="F415" s="2">
        <f>IFERROR(__xludf.DUMMYFUNCTION("""COMPUTED_VALUE"""),9584002.0)</f>
        <v>9584002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IFERROR(__xludf.DUMMYFUNCTION("""COMPUTED_VALUE"""),518.98)</f>
        <v>518.98</v>
      </c>
      <c r="C416" s="2">
        <f>IFERROR(__xludf.DUMMYFUNCTION("""COMPUTED_VALUE"""),524.01)</f>
        <v>524.01</v>
      </c>
      <c r="D416" s="2">
        <f>IFERROR(__xludf.DUMMYFUNCTION("""COMPUTED_VALUE"""),515.31)</f>
        <v>515.31</v>
      </c>
      <c r="E416" s="2">
        <f>IFERROR(__xludf.DUMMYFUNCTION("""COMPUTED_VALUE"""),519.1)</f>
        <v>519.1</v>
      </c>
      <c r="F416" s="2">
        <f>IFERROR(__xludf.DUMMYFUNCTION("""COMPUTED_VALUE"""),6282720.0)</f>
        <v>6282720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IFERROR(__xludf.DUMMYFUNCTION("""COMPUTED_VALUE"""),517.67)</f>
        <v>517.67</v>
      </c>
      <c r="C417" s="2">
        <f>IFERROR(__xludf.DUMMYFUNCTION("""COMPUTED_VALUE"""),521.09)</f>
        <v>521.09</v>
      </c>
      <c r="D417" s="2">
        <f>IFERROR(__xludf.DUMMYFUNCTION("""COMPUTED_VALUE"""),512.45)</f>
        <v>512.45</v>
      </c>
      <c r="E417" s="2">
        <f>IFERROR(__xludf.DUMMYFUNCTION("""COMPUTED_VALUE"""),516.78)</f>
        <v>516.78</v>
      </c>
      <c r="F417" s="2">
        <f>IFERROR(__xludf.DUMMYFUNCTION("""COMPUTED_VALUE"""),9106077.0)</f>
        <v>9106077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IFERROR(__xludf.DUMMYFUNCTION("""COMPUTED_VALUE"""),519.05)</f>
        <v>519.05</v>
      </c>
      <c r="C418" s="2">
        <f>IFERROR(__xludf.DUMMYFUNCTION("""COMPUTED_VALUE"""),527.2)</f>
        <v>527.2</v>
      </c>
      <c r="D418" s="2">
        <f>IFERROR(__xludf.DUMMYFUNCTION("""COMPUTED_VALUE"""),515.68)</f>
        <v>515.68</v>
      </c>
      <c r="E418" s="2">
        <f>IFERROR(__xludf.DUMMYFUNCTION("""COMPUTED_VALUE"""),518.22)</f>
        <v>518.22</v>
      </c>
      <c r="F418" s="2">
        <f>IFERROR(__xludf.DUMMYFUNCTION("""COMPUTED_VALUE"""),8317424.0)</f>
        <v>8317424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IFERROR(__xludf.DUMMYFUNCTION("""COMPUTED_VALUE"""),521.35)</f>
        <v>521.35</v>
      </c>
      <c r="C419" s="2">
        <f>IFERROR(__xludf.DUMMYFUNCTION("""COMPUTED_VALUE"""),523.54)</f>
        <v>523.54</v>
      </c>
      <c r="D419" s="2">
        <f>IFERROR(__xludf.DUMMYFUNCTION("""COMPUTED_VALUE"""),515.2)</f>
        <v>515.2</v>
      </c>
      <c r="E419" s="2">
        <f>IFERROR(__xludf.DUMMYFUNCTION("""COMPUTED_VALUE"""),521.31)</f>
        <v>521.31</v>
      </c>
      <c r="F419" s="2">
        <f>IFERROR(__xludf.DUMMYFUNCTION("""COMPUTED_VALUE"""),9157541.0)</f>
        <v>9157541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IFERROR(__xludf.DUMMYFUNCTION("""COMPUTED_VALUE"""),519.64)</f>
        <v>519.64</v>
      </c>
      <c r="C420" s="2">
        <f>IFERROR(__xludf.DUMMYFUNCTION("""COMPUTED_VALUE"""),525.49)</f>
        <v>525.49</v>
      </c>
      <c r="D420" s="2">
        <f>IFERROR(__xludf.DUMMYFUNCTION("""COMPUTED_VALUE"""),508.62)</f>
        <v>508.62</v>
      </c>
      <c r="E420" s="2">
        <f>IFERROR(__xludf.DUMMYFUNCTION("""COMPUTED_VALUE"""),511.76)</f>
        <v>511.76</v>
      </c>
      <c r="F420" s="2">
        <f>IFERROR(__xludf.DUMMYFUNCTION("""COMPUTED_VALUE"""),1.2459113E7)</f>
        <v>12459113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IFERROR(__xludf.DUMMYFUNCTION("""COMPUTED_VALUE"""),506.07)</f>
        <v>506.07</v>
      </c>
      <c r="C421" s="2">
        <f>IFERROR(__xludf.DUMMYFUNCTION("""COMPUTED_VALUE"""),516.59)</f>
        <v>516.59</v>
      </c>
      <c r="D421" s="2">
        <f>IFERROR(__xludf.DUMMYFUNCTION("""COMPUTED_VALUE"""),504.07)</f>
        <v>504.07</v>
      </c>
      <c r="E421" s="2">
        <f>IFERROR(__xludf.DUMMYFUNCTION("""COMPUTED_VALUE"""),512.74)</f>
        <v>512.74</v>
      </c>
      <c r="F421" s="2">
        <f>IFERROR(__xludf.DUMMYFUNCTION("""COMPUTED_VALUE"""),8335207.0)</f>
        <v>8335207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IFERROR(__xludf.DUMMYFUNCTION("""COMPUTED_VALUE"""),511.72)</f>
        <v>511.72</v>
      </c>
      <c r="C422" s="2">
        <f>IFERROR(__xludf.DUMMYFUNCTION("""COMPUTED_VALUE"""),521.63)</f>
        <v>521.63</v>
      </c>
      <c r="D422" s="2">
        <f>IFERROR(__xludf.DUMMYFUNCTION("""COMPUTED_VALUE"""),511.15)</f>
        <v>511.15</v>
      </c>
      <c r="E422" s="2">
        <f>IFERROR(__xludf.DUMMYFUNCTION("""COMPUTED_VALUE"""),516.86)</f>
        <v>516.86</v>
      </c>
      <c r="F422" s="2">
        <f>IFERROR(__xludf.DUMMYFUNCTION("""COMPUTED_VALUE"""),8640888.0)</f>
        <v>8640888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IFERROR(__xludf.DUMMYFUNCTION("""COMPUTED_VALUE"""),521.88)</f>
        <v>521.88</v>
      </c>
      <c r="C423" s="2">
        <f>IFERROR(__xludf.DUMMYFUNCTION("""COMPUTED_VALUE"""),524.58)</f>
        <v>524.58</v>
      </c>
      <c r="D423" s="2">
        <f>IFERROR(__xludf.DUMMYFUNCTION("""COMPUTED_VALUE"""),498.25)</f>
        <v>498.25</v>
      </c>
      <c r="E423" s="2">
        <f>IFERROR(__xludf.DUMMYFUNCTION("""COMPUTED_VALUE"""),500.27)</f>
        <v>500.27</v>
      </c>
      <c r="F423" s="2">
        <f>IFERROR(__xludf.DUMMYFUNCTION("""COMPUTED_VALUE"""),1.4744521E7)</f>
        <v>14744521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IFERROR(__xludf.DUMMYFUNCTION("""COMPUTED_VALUE"""),506.16)</f>
        <v>506.16</v>
      </c>
      <c r="C424" s="2">
        <f>IFERROR(__xludf.DUMMYFUNCTION("""COMPUTED_VALUE"""),511.33)</f>
        <v>511.33</v>
      </c>
      <c r="D424" s="2">
        <f>IFERROR(__xludf.DUMMYFUNCTION("""COMPUTED_VALUE"""),502.08)</f>
        <v>502.08</v>
      </c>
      <c r="E424" s="2">
        <f>IFERROR(__xludf.DUMMYFUNCTION("""COMPUTED_VALUE"""),504.79)</f>
        <v>504.79</v>
      </c>
      <c r="F424" s="2">
        <f>IFERROR(__xludf.DUMMYFUNCTION("""COMPUTED_VALUE"""),1.1047828E7)</f>
        <v>11047828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IFERROR(__xludf.DUMMYFUNCTION("""COMPUTED_VALUE"""),508.16)</f>
        <v>508.16</v>
      </c>
      <c r="C425" s="2">
        <f>IFERROR(__xludf.DUMMYFUNCTION("""COMPUTED_VALUE"""),514.18)</f>
        <v>514.18</v>
      </c>
      <c r="D425" s="2">
        <f>IFERROR(__xludf.DUMMYFUNCTION("""COMPUTED_VALUE"""),500.03)</f>
        <v>500.03</v>
      </c>
      <c r="E425" s="2">
        <f>IFERROR(__xludf.DUMMYFUNCTION("""COMPUTED_VALUE"""),504.79)</f>
        <v>504.79</v>
      </c>
      <c r="F425" s="2">
        <f>IFERROR(__xludf.DUMMYFUNCTION("""COMPUTED_VALUE"""),9899022.0)</f>
        <v>9899022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IFERROR(__xludf.DUMMYFUNCTION("""COMPUTED_VALUE"""),507.01)</f>
        <v>507.01</v>
      </c>
      <c r="C426" s="2">
        <f>IFERROR(__xludf.DUMMYFUNCTION("""COMPUTED_VALUE"""),513.12)</f>
        <v>513.12</v>
      </c>
      <c r="D426" s="2">
        <f>IFERROR(__xludf.DUMMYFUNCTION("""COMPUTED_VALUE"""),495.6)</f>
        <v>495.6</v>
      </c>
      <c r="E426" s="2">
        <f>IFERROR(__xludf.DUMMYFUNCTION("""COMPUTED_VALUE"""),511.83)</f>
        <v>511.83</v>
      </c>
      <c r="F426" s="2">
        <f>IFERROR(__xludf.DUMMYFUNCTION("""COMPUTED_VALUE"""),1.0782532E7)</f>
        <v>10782532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IFERROR(__xludf.DUMMYFUNCTION("""COMPUTED_VALUE"""),517.05)</f>
        <v>517.05</v>
      </c>
      <c r="C427" s="2">
        <f>IFERROR(__xludf.DUMMYFUNCTION("""COMPUTED_VALUE"""),526.71)</f>
        <v>526.71</v>
      </c>
      <c r="D427" s="2">
        <f>IFERROR(__xludf.DUMMYFUNCTION("""COMPUTED_VALUE"""),515.22)</f>
        <v>515.22</v>
      </c>
      <c r="E427" s="2">
        <f>IFERROR(__xludf.DUMMYFUNCTION("""COMPUTED_VALUE"""),525.6)</f>
        <v>525.6</v>
      </c>
      <c r="F427" s="2">
        <f>IFERROR(__xludf.DUMMYFUNCTION("""COMPUTED_VALUE"""),1.1993342E7)</f>
        <v>11993342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IFERROR(__xludf.DUMMYFUNCTION("""COMPUTED_VALUE"""),520.34)</f>
        <v>520.34</v>
      </c>
      <c r="C428" s="2">
        <f>IFERROR(__xludf.DUMMYFUNCTION("""COMPUTED_VALUE"""),527.58)</f>
        <v>527.58</v>
      </c>
      <c r="D428" s="2">
        <f>IFERROR(__xludf.DUMMYFUNCTION("""COMPUTED_VALUE"""),517.11)</f>
        <v>517.11</v>
      </c>
      <c r="E428" s="2">
        <f>IFERROR(__xludf.DUMMYFUNCTION("""COMPUTED_VALUE"""),524.62)</f>
        <v>524.62</v>
      </c>
      <c r="F428" s="2">
        <f>IFERROR(__xludf.DUMMYFUNCTION("""COMPUTED_VALUE"""),1.0321422E7)</f>
        <v>10321422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IFERROR(__xludf.DUMMYFUNCTION("""COMPUTED_VALUE"""),524.54)</f>
        <v>524.54</v>
      </c>
      <c r="C429" s="2">
        <f>IFERROR(__xludf.DUMMYFUNCTION("""COMPUTED_VALUE"""),534.1)</f>
        <v>534.1</v>
      </c>
      <c r="D429" s="2">
        <f>IFERROR(__xludf.DUMMYFUNCTION("""COMPUTED_VALUE"""),517.4)</f>
        <v>517.4</v>
      </c>
      <c r="E429" s="2">
        <f>IFERROR(__xludf.DUMMYFUNCTION("""COMPUTED_VALUE"""),533.28)</f>
        <v>533.28</v>
      </c>
      <c r="F429" s="2">
        <f>IFERROR(__xludf.DUMMYFUNCTION("""COMPUTED_VALUE"""),9527646.0)</f>
        <v>9527646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IFERROR(__xludf.DUMMYFUNCTION("""COMPUTED_VALUE"""),537.6)</f>
        <v>537.6</v>
      </c>
      <c r="C430" s="2">
        <f>IFERROR(__xludf.DUMMYFUNCTION("""COMPUTED_VALUE"""),542.1)</f>
        <v>542.1</v>
      </c>
      <c r="D430" s="2">
        <f>IFERROR(__xludf.DUMMYFUNCTION("""COMPUTED_VALUE"""),530.57)</f>
        <v>530.57</v>
      </c>
      <c r="E430" s="2">
        <f>IFERROR(__xludf.DUMMYFUNCTION("""COMPUTED_VALUE"""),536.32)</f>
        <v>536.32</v>
      </c>
      <c r="F430" s="2">
        <f>IFERROR(__xludf.DUMMYFUNCTION("""COMPUTED_VALUE"""),1.1690779E7)</f>
        <v>11690779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IFERROR(__xludf.DUMMYFUNCTION("""COMPUTED_VALUE"""),537.07)</f>
        <v>537.07</v>
      </c>
      <c r="C431" s="2">
        <f>IFERROR(__xludf.DUMMYFUNCTION("""COMPUTED_VALUE"""),544.2)</f>
        <v>544.2</v>
      </c>
      <c r="D431" s="2">
        <f>IFERROR(__xludf.DUMMYFUNCTION("""COMPUTED_VALUE"""),533.9)</f>
        <v>533.9</v>
      </c>
      <c r="E431" s="2">
        <f>IFERROR(__xludf.DUMMYFUNCTION("""COMPUTED_VALUE"""),537.95)</f>
        <v>537.95</v>
      </c>
      <c r="F431" s="2">
        <f>IFERROR(__xludf.DUMMYFUNCTION("""COMPUTED_VALUE"""),1.0323537E7)</f>
        <v>10323537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IFERROR(__xludf.DUMMYFUNCTION("""COMPUTED_VALUE"""),550.0)</f>
        <v>550</v>
      </c>
      <c r="C432" s="2">
        <f>IFERROR(__xludf.DUMMYFUNCTION("""COMPUTED_VALUE"""),562.07)</f>
        <v>562.07</v>
      </c>
      <c r="D432" s="2">
        <f>IFERROR(__xludf.DUMMYFUNCTION("""COMPUTED_VALUE"""),546.52)</f>
        <v>546.52</v>
      </c>
      <c r="E432" s="2">
        <f>IFERROR(__xludf.DUMMYFUNCTION("""COMPUTED_VALUE"""),559.1)</f>
        <v>559.1</v>
      </c>
      <c r="F432" s="2">
        <f>IFERROR(__xludf.DUMMYFUNCTION("""COMPUTED_VALUE"""),1.5646951E7)</f>
        <v>15646951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IFERROR(__xludf.DUMMYFUNCTION("""COMPUTED_VALUE"""),560.0)</f>
        <v>560</v>
      </c>
      <c r="C433" s="2">
        <f>IFERROR(__xludf.DUMMYFUNCTION("""COMPUTED_VALUE"""),564.5)</f>
        <v>564.5</v>
      </c>
      <c r="D433" s="2">
        <f>IFERROR(__xludf.DUMMYFUNCTION("""COMPUTED_VALUE"""),556.3)</f>
        <v>556.3</v>
      </c>
      <c r="E433" s="2">
        <f>IFERROR(__xludf.DUMMYFUNCTION("""COMPUTED_VALUE"""),561.35)</f>
        <v>561.35</v>
      </c>
      <c r="F433" s="2">
        <f>IFERROR(__xludf.DUMMYFUNCTION("""COMPUTED_VALUE"""),2.2066817E7)</f>
        <v>22066817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IFERROR(__xludf.DUMMYFUNCTION("""COMPUTED_VALUE"""),569.5)</f>
        <v>569.5</v>
      </c>
      <c r="C434" s="2">
        <f>IFERROR(__xludf.DUMMYFUNCTION("""COMPUTED_VALUE"""),573.98)</f>
        <v>573.98</v>
      </c>
      <c r="D434" s="2">
        <f>IFERROR(__xludf.DUMMYFUNCTION("""COMPUTED_VALUE"""),562.41)</f>
        <v>562.41</v>
      </c>
      <c r="E434" s="2">
        <f>IFERROR(__xludf.DUMMYFUNCTION("""COMPUTED_VALUE"""),564.41)</f>
        <v>564.41</v>
      </c>
      <c r="F434" s="2">
        <f>IFERROR(__xludf.DUMMYFUNCTION("""COMPUTED_VALUE"""),1.2830669E7)</f>
        <v>12830669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IFERROR(__xludf.DUMMYFUNCTION("""COMPUTED_VALUE"""),566.68)</f>
        <v>566.68</v>
      </c>
      <c r="C435" s="2">
        <f>IFERROR(__xludf.DUMMYFUNCTION("""COMPUTED_VALUE"""),567.75)</f>
        <v>567.75</v>
      </c>
      <c r="D435" s="2">
        <f>IFERROR(__xludf.DUMMYFUNCTION("""COMPUTED_VALUE"""),554.19)</f>
        <v>554.19</v>
      </c>
      <c r="E435" s="2">
        <f>IFERROR(__xludf.DUMMYFUNCTION("""COMPUTED_VALUE"""),563.33)</f>
        <v>563.33</v>
      </c>
      <c r="F435" s="2">
        <f>IFERROR(__xludf.DUMMYFUNCTION("""COMPUTED_VALUE"""),1.2992956E7)</f>
        <v>12992956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IFERROR(__xludf.DUMMYFUNCTION("""COMPUTED_VALUE"""),564.05)</f>
        <v>564.05</v>
      </c>
      <c r="C436" s="2">
        <f>IFERROR(__xludf.DUMMYFUNCTION("""COMPUTED_VALUE"""),576.88)</f>
        <v>576.88</v>
      </c>
      <c r="D436" s="2">
        <f>IFERROR(__xludf.DUMMYFUNCTION("""COMPUTED_VALUE"""),563.72)</f>
        <v>563.72</v>
      </c>
      <c r="E436" s="2">
        <f>IFERROR(__xludf.DUMMYFUNCTION("""COMPUTED_VALUE"""),568.31)</f>
        <v>568.31</v>
      </c>
      <c r="F436" s="2">
        <f>IFERROR(__xludf.DUMMYFUNCTION("""COMPUTED_VALUE"""),1.654335E7)</f>
        <v>16543350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IFERROR(__xludf.DUMMYFUNCTION("""COMPUTED_VALUE"""),575.73)</f>
        <v>575.73</v>
      </c>
      <c r="C437" s="2">
        <f>IFERROR(__xludf.DUMMYFUNCTION("""COMPUTED_VALUE"""),577.4)</f>
        <v>577.4</v>
      </c>
      <c r="D437" s="2">
        <f>IFERROR(__xludf.DUMMYFUNCTION("""COMPUTED_VALUE"""),562.35)</f>
        <v>562.35</v>
      </c>
      <c r="E437" s="2">
        <f>IFERROR(__xludf.DUMMYFUNCTION("""COMPUTED_VALUE"""),567.84)</f>
        <v>567.84</v>
      </c>
      <c r="F437" s="2">
        <f>IFERROR(__xludf.DUMMYFUNCTION("""COMPUTED_VALUE"""),1.4400787E7)</f>
        <v>14400787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IFERROR(__xludf.DUMMYFUNCTION("""COMPUTED_VALUE"""),570.1)</f>
        <v>570.1</v>
      </c>
      <c r="C438" s="2">
        <f>IFERROR(__xludf.DUMMYFUNCTION("""COMPUTED_VALUE"""),570.84)</f>
        <v>570.84</v>
      </c>
      <c r="D438" s="2">
        <f>IFERROR(__xludf.DUMMYFUNCTION("""COMPUTED_VALUE"""),564.51)</f>
        <v>564.51</v>
      </c>
      <c r="E438" s="2">
        <f>IFERROR(__xludf.DUMMYFUNCTION("""COMPUTED_VALUE"""),567.36)</f>
        <v>567.36</v>
      </c>
      <c r="F438" s="2">
        <f>IFERROR(__xludf.DUMMYFUNCTION("""COMPUTED_VALUE"""),9398367.0)</f>
        <v>9398367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IFERROR(__xludf.DUMMYFUNCTION("""COMPUTED_VALUE"""),567.7)</f>
        <v>567.7</v>
      </c>
      <c r="C439" s="2">
        <f>IFERROR(__xludf.DUMMYFUNCTION("""COMPUTED_VALUE"""),574.68)</f>
        <v>574.68</v>
      </c>
      <c r="D439" s="2">
        <f>IFERROR(__xludf.DUMMYFUNCTION("""COMPUTED_VALUE"""),564.8)</f>
        <v>564.8</v>
      </c>
      <c r="E439" s="2">
        <f>IFERROR(__xludf.DUMMYFUNCTION("""COMPUTED_VALUE"""),572.44)</f>
        <v>572.44</v>
      </c>
      <c r="F439" s="2">
        <f>IFERROR(__xludf.DUMMYFUNCTION("""COMPUTED_VALUE"""),1.2807206E7)</f>
        <v>12807206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IFERROR(__xludf.DUMMYFUNCTION("""COMPUTED_VALUE"""),577.98)</f>
        <v>577.98</v>
      </c>
      <c r="C440" s="2">
        <f>IFERROR(__xludf.DUMMYFUNCTION("""COMPUTED_VALUE"""),583.04)</f>
        <v>583.04</v>
      </c>
      <c r="D440" s="2">
        <f>IFERROR(__xludf.DUMMYFUNCTION("""COMPUTED_VALUE"""),570.1)</f>
        <v>570.1</v>
      </c>
      <c r="E440" s="2">
        <f>IFERROR(__xludf.DUMMYFUNCTION("""COMPUTED_VALUE"""),576.47)</f>
        <v>576.47</v>
      </c>
      <c r="F440" s="2">
        <f>IFERROR(__xludf.DUMMYFUNCTION("""COMPUTED_VALUE"""),1.5259274E7)</f>
        <v>15259274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IFERROR(__xludf.DUMMYFUNCTION("""COMPUTED_VALUE"""),574.86)</f>
        <v>574.86</v>
      </c>
      <c r="C441" s="2">
        <f>IFERROR(__xludf.DUMMYFUNCTION("""COMPUTED_VALUE"""),576.0)</f>
        <v>576</v>
      </c>
      <c r="D441" s="2">
        <f>IFERROR(__xludf.DUMMYFUNCTION("""COMPUTED_VALUE"""),569.34)</f>
        <v>569.34</v>
      </c>
      <c r="E441" s="2">
        <f>IFERROR(__xludf.DUMMYFUNCTION("""COMPUTED_VALUE"""),572.81)</f>
        <v>572.81</v>
      </c>
      <c r="F441" s="2">
        <f>IFERROR(__xludf.DUMMYFUNCTION("""COMPUTED_VALUE"""),6524650.0)</f>
        <v>6524650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IFERROR(__xludf.DUMMYFUNCTION("""COMPUTED_VALUE"""),570.15)</f>
        <v>570.15</v>
      </c>
      <c r="C442" s="2">
        <f>IFERROR(__xludf.DUMMYFUNCTION("""COMPUTED_VALUE"""),583.36)</f>
        <v>583.36</v>
      </c>
      <c r="D442" s="2">
        <f>IFERROR(__xludf.DUMMYFUNCTION("""COMPUTED_VALUE"""),568.73)</f>
        <v>568.73</v>
      </c>
      <c r="E442" s="2">
        <f>IFERROR(__xludf.DUMMYFUNCTION("""COMPUTED_VALUE"""),582.77)</f>
        <v>582.77</v>
      </c>
      <c r="F442" s="2">
        <f>IFERROR(__xludf.DUMMYFUNCTION("""COMPUTED_VALUE"""),1.158098E7)</f>
        <v>11580980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IFERROR(__xludf.DUMMYFUNCTION("""COMPUTED_VALUE"""),583.73)</f>
        <v>583.73</v>
      </c>
      <c r="C443" s="2">
        <f>IFERROR(__xludf.DUMMYFUNCTION("""COMPUTED_VALUE"""),596.85)</f>
        <v>596.85</v>
      </c>
      <c r="D443" s="2">
        <f>IFERROR(__xludf.DUMMYFUNCTION("""COMPUTED_VALUE"""),581.43)</f>
        <v>581.43</v>
      </c>
      <c r="E443" s="2">
        <f>IFERROR(__xludf.DUMMYFUNCTION("""COMPUTED_VALUE"""),595.94)</f>
        <v>595.94</v>
      </c>
      <c r="F443" s="2">
        <f>IFERROR(__xludf.DUMMYFUNCTION("""COMPUTED_VALUE"""),1.4199788E7)</f>
        <v>14199788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IFERROR(__xludf.DUMMYFUNCTION("""COMPUTED_VALUE"""),598.22)</f>
        <v>598.22</v>
      </c>
      <c r="C444" s="2">
        <f>IFERROR(__xludf.DUMMYFUNCTION("""COMPUTED_VALUE"""),602.95)</f>
        <v>602.95</v>
      </c>
      <c r="D444" s="2">
        <f>IFERROR(__xludf.DUMMYFUNCTION("""COMPUTED_VALUE"""),584.04)</f>
        <v>584.04</v>
      </c>
      <c r="E444" s="2">
        <f>IFERROR(__xludf.DUMMYFUNCTION("""COMPUTED_VALUE"""),584.78)</f>
        <v>584.78</v>
      </c>
      <c r="F444" s="2">
        <f>IFERROR(__xludf.DUMMYFUNCTION("""COMPUTED_VALUE"""),1.2014198E7)</f>
        <v>12014198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IFERROR(__xludf.DUMMYFUNCTION("""COMPUTED_VALUE"""),589.69)</f>
        <v>589.69</v>
      </c>
      <c r="C445" s="2">
        <f>IFERROR(__xludf.DUMMYFUNCTION("""COMPUTED_VALUE"""),593.56)</f>
        <v>593.56</v>
      </c>
      <c r="D445" s="2">
        <f>IFERROR(__xludf.DUMMYFUNCTION("""COMPUTED_VALUE"""),585.97)</f>
        <v>585.97</v>
      </c>
      <c r="E445" s="2">
        <f>IFERROR(__xludf.DUMMYFUNCTION("""COMPUTED_VALUE"""),592.89)</f>
        <v>592.89</v>
      </c>
      <c r="F445" s="2">
        <f>IFERROR(__xludf.DUMMYFUNCTION("""COMPUTED_VALUE"""),7857377.0)</f>
        <v>7857377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IFERROR(__xludf.DUMMYFUNCTION("""COMPUTED_VALUE"""),593.99)</f>
        <v>593.99</v>
      </c>
      <c r="C446" s="2">
        <f>IFERROR(__xludf.DUMMYFUNCTION("""COMPUTED_VALUE"""),594.39)</f>
        <v>594.39</v>
      </c>
      <c r="D446" s="2">
        <f>IFERROR(__xludf.DUMMYFUNCTION("""COMPUTED_VALUE"""),581.61)</f>
        <v>581.61</v>
      </c>
      <c r="E446" s="2">
        <f>IFERROR(__xludf.DUMMYFUNCTION("""COMPUTED_VALUE"""),590.51)</f>
        <v>590.51</v>
      </c>
      <c r="F446" s="2">
        <f>IFERROR(__xludf.DUMMYFUNCTION("""COMPUTED_VALUE"""),9529707.0)</f>
        <v>9529707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IFERROR(__xludf.DUMMYFUNCTION("""COMPUTED_VALUE"""),587.57)</f>
        <v>587.57</v>
      </c>
      <c r="C447" s="2">
        <f>IFERROR(__xludf.DUMMYFUNCTION("""COMPUTED_VALUE"""),590.23)</f>
        <v>590.23</v>
      </c>
      <c r="D447" s="2">
        <f>IFERROR(__xludf.DUMMYFUNCTION("""COMPUTED_VALUE"""),582.52)</f>
        <v>582.52</v>
      </c>
      <c r="E447" s="2">
        <f>IFERROR(__xludf.DUMMYFUNCTION("""COMPUTED_VALUE"""),583.83)</f>
        <v>583.83</v>
      </c>
      <c r="F447" s="2">
        <f>IFERROR(__xludf.DUMMYFUNCTION("""COMPUTED_VALUE"""),7740449.0)</f>
        <v>7740449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IFERROR(__xludf.DUMMYFUNCTION("""COMPUTED_VALUE"""),584.83)</f>
        <v>584.83</v>
      </c>
      <c r="C448" s="2">
        <f>IFERROR(__xludf.DUMMYFUNCTION("""COMPUTED_VALUE"""),591.21)</f>
        <v>591.21</v>
      </c>
      <c r="D448" s="2">
        <f>IFERROR(__xludf.DUMMYFUNCTION("""COMPUTED_VALUE"""),582.71)</f>
        <v>582.71</v>
      </c>
      <c r="E448" s="2">
        <f>IFERROR(__xludf.DUMMYFUNCTION("""COMPUTED_VALUE"""),589.95)</f>
        <v>589.95</v>
      </c>
      <c r="F448" s="2">
        <f>IFERROR(__xludf.DUMMYFUNCTION("""COMPUTED_VALUE"""),8587051.0)</f>
        <v>8587051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IFERROR(__xludf.DUMMYFUNCTION("""COMPUTED_VALUE"""),594.22)</f>
        <v>594.22</v>
      </c>
      <c r="C449" s="2">
        <f>IFERROR(__xludf.DUMMYFUNCTION("""COMPUTED_VALUE"""),600.1)</f>
        <v>600.1</v>
      </c>
      <c r="D449" s="2">
        <f>IFERROR(__xludf.DUMMYFUNCTION("""COMPUTED_VALUE"""),589.96)</f>
        <v>589.96</v>
      </c>
      <c r="E449" s="2">
        <f>IFERROR(__xludf.DUMMYFUNCTION("""COMPUTED_VALUE"""),590.42)</f>
        <v>590.42</v>
      </c>
      <c r="F449" s="2">
        <f>IFERROR(__xludf.DUMMYFUNCTION("""COMPUTED_VALUE"""),8251971.0)</f>
        <v>8251971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IFERROR(__xludf.DUMMYFUNCTION("""COMPUTED_VALUE"""),590.16)</f>
        <v>590.16</v>
      </c>
      <c r="C450" s="2">
        <f>IFERROR(__xludf.DUMMYFUNCTION("""COMPUTED_VALUE"""),590.61)</f>
        <v>590.61</v>
      </c>
      <c r="D450" s="2">
        <f>IFERROR(__xludf.DUMMYFUNCTION("""COMPUTED_VALUE"""),580.14)</f>
        <v>580.14</v>
      </c>
      <c r="E450" s="2">
        <f>IFERROR(__xludf.DUMMYFUNCTION("""COMPUTED_VALUE"""),586.27)</f>
        <v>586.27</v>
      </c>
      <c r="F450" s="2">
        <f>IFERROR(__xludf.DUMMYFUNCTION("""COMPUTED_VALUE"""),9564236.0)</f>
        <v>9564236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IFERROR(__xludf.DUMMYFUNCTION("""COMPUTED_VALUE"""),581.4)</f>
        <v>581.4</v>
      </c>
      <c r="C451" s="2">
        <f>IFERROR(__xludf.DUMMYFUNCTION("""COMPUTED_VALUE"""),582.08)</f>
        <v>582.08</v>
      </c>
      <c r="D451" s="2">
        <f>IFERROR(__xludf.DUMMYFUNCTION("""COMPUTED_VALUE"""),574.03)</f>
        <v>574.03</v>
      </c>
      <c r="E451" s="2">
        <f>IFERROR(__xludf.DUMMYFUNCTION("""COMPUTED_VALUE"""),576.79)</f>
        <v>576.79</v>
      </c>
      <c r="F451" s="2">
        <f>IFERROR(__xludf.DUMMYFUNCTION("""COMPUTED_VALUE"""),1.1268384E7)</f>
        <v>11268384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IFERROR(__xludf.DUMMYFUNCTION("""COMPUTED_VALUE"""),583.33)</f>
        <v>583.33</v>
      </c>
      <c r="C452" s="2">
        <f>IFERROR(__xludf.DUMMYFUNCTION("""COMPUTED_VALUE"""),584.97)</f>
        <v>584.97</v>
      </c>
      <c r="D452" s="2">
        <f>IFERROR(__xludf.DUMMYFUNCTION("""COMPUTED_VALUE"""),575.2)</f>
        <v>575.2</v>
      </c>
      <c r="E452" s="2">
        <f>IFERROR(__xludf.DUMMYFUNCTION("""COMPUTED_VALUE"""),576.93)</f>
        <v>576.93</v>
      </c>
      <c r="F452" s="2">
        <f>IFERROR(__xludf.DUMMYFUNCTION("""COMPUTED_VALUE"""),8701158.0)</f>
        <v>8701158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IFERROR(__xludf.DUMMYFUNCTION("""COMPUTED_VALUE"""),581.1)</f>
        <v>581.1</v>
      </c>
      <c r="C453" s="2">
        <f>IFERROR(__xludf.DUMMYFUNCTION("""COMPUTED_VALUE"""),583.97)</f>
        <v>583.97</v>
      </c>
      <c r="D453" s="2">
        <f>IFERROR(__xludf.DUMMYFUNCTION("""COMPUTED_VALUE"""),575.25)</f>
        <v>575.25</v>
      </c>
      <c r="E453" s="2">
        <f>IFERROR(__xludf.DUMMYFUNCTION("""COMPUTED_VALUE"""),576.47)</f>
        <v>576.47</v>
      </c>
      <c r="F453" s="2">
        <f>IFERROR(__xludf.DUMMYFUNCTION("""COMPUTED_VALUE"""),7694274.0)</f>
        <v>7694274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IFERROR(__xludf.DUMMYFUNCTION("""COMPUTED_VALUE"""),576.03)</f>
        <v>576.03</v>
      </c>
      <c r="C454" s="2">
        <f>IFERROR(__xludf.DUMMYFUNCTION("""COMPUTED_VALUE"""),577.24)</f>
        <v>577.24</v>
      </c>
      <c r="D454" s="2">
        <f>IFERROR(__xludf.DUMMYFUNCTION("""COMPUTED_VALUE"""),569.11)</f>
        <v>569.11</v>
      </c>
      <c r="E454" s="2">
        <f>IFERROR(__xludf.DUMMYFUNCTION("""COMPUTED_VALUE"""),575.16)</f>
        <v>575.16</v>
      </c>
      <c r="F454" s="2">
        <f>IFERROR(__xludf.DUMMYFUNCTION("""COMPUTED_VALUE"""),8171879.0)</f>
        <v>8171879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IFERROR(__xludf.DUMMYFUNCTION("""COMPUTED_VALUE"""),574.29)</f>
        <v>574.29</v>
      </c>
      <c r="C455" s="2">
        <f>IFERROR(__xludf.DUMMYFUNCTION("""COMPUTED_VALUE"""),583.53)</f>
        <v>583.53</v>
      </c>
      <c r="D455" s="2">
        <f>IFERROR(__xludf.DUMMYFUNCTION("""COMPUTED_VALUE"""),572.12)</f>
        <v>572.12</v>
      </c>
      <c r="E455" s="2">
        <f>IFERROR(__xludf.DUMMYFUNCTION("""COMPUTED_VALUE"""),582.01)</f>
        <v>582.01</v>
      </c>
      <c r="F455" s="2">
        <f>IFERROR(__xludf.DUMMYFUNCTION("""COMPUTED_VALUE"""),8544463.0)</f>
        <v>8544463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IFERROR(__xludf.DUMMYFUNCTION("""COMPUTED_VALUE"""),579.97)</f>
        <v>579.97</v>
      </c>
      <c r="C456" s="2">
        <f>IFERROR(__xludf.DUMMYFUNCTION("""COMPUTED_VALUE"""),585.0)</f>
        <v>585</v>
      </c>
      <c r="D456" s="2">
        <f>IFERROR(__xludf.DUMMYFUNCTION("""COMPUTED_VALUE"""),562.5)</f>
        <v>562.5</v>
      </c>
      <c r="E456" s="2">
        <f>IFERROR(__xludf.DUMMYFUNCTION("""COMPUTED_VALUE"""),563.69)</f>
        <v>563.69</v>
      </c>
      <c r="F456" s="2">
        <f>IFERROR(__xludf.DUMMYFUNCTION("""COMPUTED_VALUE"""),1.4248419E7)</f>
        <v>14248419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IFERROR(__xludf.DUMMYFUNCTION("""COMPUTED_VALUE"""),567.13)</f>
        <v>567.13</v>
      </c>
      <c r="C457" s="2">
        <f>IFERROR(__xludf.DUMMYFUNCTION("""COMPUTED_VALUE"""),568.88)</f>
        <v>568.88</v>
      </c>
      <c r="D457" s="2">
        <f>IFERROR(__xludf.DUMMYFUNCTION("""COMPUTED_VALUE"""),561.52)</f>
        <v>561.52</v>
      </c>
      <c r="E457" s="2">
        <f>IFERROR(__xludf.DUMMYFUNCTION("""COMPUTED_VALUE"""),567.78)</f>
        <v>567.78</v>
      </c>
      <c r="F457" s="2">
        <f>IFERROR(__xludf.DUMMYFUNCTION("""COMPUTED_VALUE"""),7184651.0)</f>
        <v>7184651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IFERROR(__xludf.DUMMYFUNCTION("""COMPUTED_VALUE"""),573.93)</f>
        <v>573.93</v>
      </c>
      <c r="C458" s="2">
        <f>IFERROR(__xludf.DUMMYFUNCTION("""COMPUTED_VALUE"""),581.29)</f>
        <v>581.29</v>
      </c>
      <c r="D458" s="2">
        <f>IFERROR(__xludf.DUMMYFUNCTION("""COMPUTED_VALUE"""),571.72)</f>
        <v>571.72</v>
      </c>
      <c r="E458" s="2">
        <f>IFERROR(__xludf.DUMMYFUNCTION("""COMPUTED_VALUE"""),573.25)</f>
        <v>573.25</v>
      </c>
      <c r="F458" s="2">
        <f>IFERROR(__xludf.DUMMYFUNCTION("""COMPUTED_VALUE"""),1.1337874E7)</f>
        <v>11337874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IFERROR(__xludf.DUMMYFUNCTION("""COMPUTED_VALUE"""),582.0)</f>
        <v>582</v>
      </c>
      <c r="C459" s="2">
        <f>IFERROR(__xludf.DUMMYFUNCTION("""COMPUTED_VALUE"""),583.75)</f>
        <v>583.75</v>
      </c>
      <c r="D459" s="2">
        <f>IFERROR(__xludf.DUMMYFUNCTION("""COMPUTED_VALUE"""),574.12)</f>
        <v>574.12</v>
      </c>
      <c r="E459" s="2">
        <f>IFERROR(__xludf.DUMMYFUNCTION("""COMPUTED_VALUE"""),578.16)</f>
        <v>578.16</v>
      </c>
      <c r="F459" s="2">
        <f>IFERROR(__xludf.DUMMYFUNCTION("""COMPUTED_VALUE"""),1.0925131E7)</f>
        <v>10925131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IFERROR(__xludf.DUMMYFUNCTION("""COMPUTED_VALUE"""),580.15)</f>
        <v>580.15</v>
      </c>
      <c r="C460" s="2">
        <f>IFERROR(__xludf.DUMMYFUNCTION("""COMPUTED_VALUE"""),593.67)</f>
        <v>593.67</v>
      </c>
      <c r="D460" s="2">
        <f>IFERROR(__xludf.DUMMYFUNCTION("""COMPUTED_VALUE"""),575.4)</f>
        <v>575.4</v>
      </c>
      <c r="E460" s="2">
        <f>IFERROR(__xludf.DUMMYFUNCTION("""COMPUTED_VALUE"""),593.28)</f>
        <v>593.28</v>
      </c>
      <c r="F460" s="2">
        <f>IFERROR(__xludf.DUMMYFUNCTION("""COMPUTED_VALUE"""),1.3019092E7)</f>
        <v>13019092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IFERROR(__xludf.DUMMYFUNCTION("""COMPUTED_VALUE"""),600.98)</f>
        <v>600.98</v>
      </c>
      <c r="C461" s="2">
        <f>IFERROR(__xludf.DUMMYFUNCTION("""COMPUTED_VALUE"""),601.2)</f>
        <v>601.2</v>
      </c>
      <c r="D461" s="2">
        <f>IFERROR(__xludf.DUMMYFUNCTION("""COMPUTED_VALUE"""),589.38)</f>
        <v>589.38</v>
      </c>
      <c r="E461" s="2">
        <f>IFERROR(__xludf.DUMMYFUNCTION("""COMPUTED_VALUE"""),591.8)</f>
        <v>591.8</v>
      </c>
      <c r="F461" s="2">
        <f>IFERROR(__xludf.DUMMYFUNCTION("""COMPUTED_VALUE"""),2.6864925E7)</f>
        <v>26864925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IFERROR(__xludf.DUMMYFUNCTION("""COMPUTED_VALUE"""),585.0)</f>
        <v>585</v>
      </c>
      <c r="C462" s="2">
        <f>IFERROR(__xludf.DUMMYFUNCTION("""COMPUTED_VALUE"""),589.9)</f>
        <v>589.9</v>
      </c>
      <c r="D462" s="2">
        <f>IFERROR(__xludf.DUMMYFUNCTION("""COMPUTED_VALUE"""),563.01)</f>
        <v>563.01</v>
      </c>
      <c r="E462" s="2">
        <f>IFERROR(__xludf.DUMMYFUNCTION("""COMPUTED_VALUE"""),567.58)</f>
        <v>567.58</v>
      </c>
      <c r="F462" s="2">
        <f>IFERROR(__xludf.DUMMYFUNCTION("""COMPUTED_VALUE"""),2.6838395E7)</f>
        <v>26838395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IFERROR(__xludf.DUMMYFUNCTION("""COMPUTED_VALUE"""),567.61)</f>
        <v>567.61</v>
      </c>
      <c r="C463" s="2">
        <f>IFERROR(__xludf.DUMMYFUNCTION("""COMPUTED_VALUE"""),573.67)</f>
        <v>573.67</v>
      </c>
      <c r="D463" s="2">
        <f>IFERROR(__xludf.DUMMYFUNCTION("""COMPUTED_VALUE"""),562.56)</f>
        <v>562.56</v>
      </c>
      <c r="E463" s="2">
        <f>IFERROR(__xludf.DUMMYFUNCTION("""COMPUTED_VALUE"""),567.16)</f>
        <v>567.16</v>
      </c>
      <c r="F463" s="2">
        <f>IFERROR(__xludf.DUMMYFUNCTION("""COMPUTED_VALUE"""),1.5303235E7)</f>
        <v>15303235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IFERROR(__xludf.DUMMYFUNCTION("""COMPUTED_VALUE"""),564.1)</f>
        <v>564.1</v>
      </c>
      <c r="C464" s="2">
        <f>IFERROR(__xludf.DUMMYFUNCTION("""COMPUTED_VALUE"""),568.69)</f>
        <v>568.69</v>
      </c>
      <c r="D464" s="2">
        <f>IFERROR(__xludf.DUMMYFUNCTION("""COMPUTED_VALUE"""),557.89)</f>
        <v>557.89</v>
      </c>
      <c r="E464" s="2">
        <f>IFERROR(__xludf.DUMMYFUNCTION("""COMPUTED_VALUE"""),560.68)</f>
        <v>560.68</v>
      </c>
      <c r="F464" s="2">
        <f>IFERROR(__xludf.DUMMYFUNCTION("""COMPUTED_VALUE"""),1.2064601E7)</f>
        <v>12064601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IFERROR(__xludf.DUMMYFUNCTION("""COMPUTED_VALUE"""),567.3)</f>
        <v>567.3</v>
      </c>
      <c r="C465" s="2">
        <f>IFERROR(__xludf.DUMMYFUNCTION("""COMPUTED_VALUE"""),573.48)</f>
        <v>573.48</v>
      </c>
      <c r="D465" s="2">
        <f>IFERROR(__xludf.DUMMYFUNCTION("""COMPUTED_VALUE"""),566.67)</f>
        <v>566.67</v>
      </c>
      <c r="E465" s="2">
        <f>IFERROR(__xludf.DUMMYFUNCTION("""COMPUTED_VALUE"""),572.43)</f>
        <v>572.43</v>
      </c>
      <c r="F465" s="2">
        <f>IFERROR(__xludf.DUMMYFUNCTION("""COMPUTED_VALUE"""),9775379.0)</f>
        <v>9775379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IFERROR(__xludf.DUMMYFUNCTION("""COMPUTED_VALUE"""),562.75)</f>
        <v>562.75</v>
      </c>
      <c r="C466" s="2">
        <f>IFERROR(__xludf.DUMMYFUNCTION("""COMPUTED_VALUE"""),573.0)</f>
        <v>573</v>
      </c>
      <c r="D466" s="2">
        <f>IFERROR(__xludf.DUMMYFUNCTION("""COMPUTED_VALUE"""),555.17)</f>
        <v>555.17</v>
      </c>
      <c r="E466" s="2">
        <f>IFERROR(__xludf.DUMMYFUNCTION("""COMPUTED_VALUE"""),572.05)</f>
        <v>572.05</v>
      </c>
      <c r="F466" s="2">
        <f>IFERROR(__xludf.DUMMYFUNCTION("""COMPUTED_VALUE"""),1.8305429E7)</f>
        <v>18305429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IFERROR(__xludf.DUMMYFUNCTION("""COMPUTED_VALUE"""),576.89)</f>
        <v>576.89</v>
      </c>
      <c r="C467" s="2">
        <f>IFERROR(__xludf.DUMMYFUNCTION("""COMPUTED_VALUE"""),594.8)</f>
        <v>594.8</v>
      </c>
      <c r="D467" s="2">
        <f>IFERROR(__xludf.DUMMYFUNCTION("""COMPUTED_VALUE"""),575.21)</f>
        <v>575.21</v>
      </c>
      <c r="E467" s="2">
        <f>IFERROR(__xludf.DUMMYFUNCTION("""COMPUTED_VALUE"""),591.7)</f>
        <v>591.7</v>
      </c>
      <c r="F467" s="2">
        <f>IFERROR(__xludf.DUMMYFUNCTION("""COMPUTED_VALUE"""),1.4653708E7)</f>
        <v>14653708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IFERROR(__xludf.DUMMYFUNCTION("""COMPUTED_VALUE"""),591.54)</f>
        <v>591.54</v>
      </c>
      <c r="C468" s="2">
        <f>IFERROR(__xludf.DUMMYFUNCTION("""COMPUTED_VALUE"""),593.1)</f>
        <v>593.1</v>
      </c>
      <c r="D468" s="2">
        <f>IFERROR(__xludf.DUMMYFUNCTION("""COMPUTED_VALUE"""),584.52)</f>
        <v>584.52</v>
      </c>
      <c r="E468" s="2">
        <f>IFERROR(__xludf.DUMMYFUNCTION("""COMPUTED_VALUE"""),589.34)</f>
        <v>589.34</v>
      </c>
      <c r="F468" s="2">
        <f>IFERROR(__xludf.DUMMYFUNCTION("""COMPUTED_VALUE"""),9415699.0)</f>
        <v>9415699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IFERROR(__xludf.DUMMYFUNCTION("""COMPUTED_VALUE"""),586.36)</f>
        <v>586.36</v>
      </c>
      <c r="C469" s="2">
        <f>IFERROR(__xludf.DUMMYFUNCTION("""COMPUTED_VALUE"""),587.0)</f>
        <v>587</v>
      </c>
      <c r="D469" s="2">
        <f>IFERROR(__xludf.DUMMYFUNCTION("""COMPUTED_VALUE"""),576.51)</f>
        <v>576.51</v>
      </c>
      <c r="E469" s="2">
        <f>IFERROR(__xludf.DUMMYFUNCTION("""COMPUTED_VALUE"""),583.17)</f>
        <v>583.17</v>
      </c>
      <c r="F469" s="2">
        <f>IFERROR(__xludf.DUMMYFUNCTION("""COMPUTED_VALUE"""),1.0209051E7)</f>
        <v>10209051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IFERROR(__xludf.DUMMYFUNCTION("""COMPUTED_VALUE"""),588.54)</f>
        <v>588.54</v>
      </c>
      <c r="C470" s="2">
        <f>IFERROR(__xludf.DUMMYFUNCTION("""COMPUTED_VALUE"""),599.66)</f>
        <v>599.66</v>
      </c>
      <c r="D470" s="2">
        <f>IFERROR(__xludf.DUMMYFUNCTION("""COMPUTED_VALUE"""),580.38)</f>
        <v>580.38</v>
      </c>
      <c r="E470" s="2">
        <f>IFERROR(__xludf.DUMMYFUNCTION("""COMPUTED_VALUE"""),584.82)</f>
        <v>584.82</v>
      </c>
      <c r="F470" s="2">
        <f>IFERROR(__xludf.DUMMYFUNCTION("""COMPUTED_VALUE"""),1.6287724E7)</f>
        <v>16287724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IFERROR(__xludf.DUMMYFUNCTION("""COMPUTED_VALUE"""),582.61)</f>
        <v>582.61</v>
      </c>
      <c r="C471" s="2">
        <f>IFERROR(__xludf.DUMMYFUNCTION("""COMPUTED_VALUE"""),585.64)</f>
        <v>585.64</v>
      </c>
      <c r="D471" s="2">
        <f>IFERROR(__xludf.DUMMYFUNCTION("""COMPUTED_VALUE"""),575.17)</f>
        <v>575.17</v>
      </c>
      <c r="E471" s="2">
        <f>IFERROR(__xludf.DUMMYFUNCTION("""COMPUTED_VALUE"""),580.0)</f>
        <v>580</v>
      </c>
      <c r="F471" s="2">
        <f>IFERROR(__xludf.DUMMYFUNCTION("""COMPUTED_VALUE"""),1.0757583E7)</f>
        <v>10757583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IFERROR(__xludf.DUMMYFUNCTION("""COMPUTED_VALUE"""),577.0)</f>
        <v>577</v>
      </c>
      <c r="C472" s="2">
        <f>IFERROR(__xludf.DUMMYFUNCTION("""COMPUTED_VALUE"""),580.76)</f>
        <v>580.76</v>
      </c>
      <c r="D472" s="2">
        <f>IFERROR(__xludf.DUMMYFUNCTION("""COMPUTED_VALUE"""),573.01)</f>
        <v>573.01</v>
      </c>
      <c r="E472" s="2">
        <f>IFERROR(__xludf.DUMMYFUNCTION("""COMPUTED_VALUE"""),577.16)</f>
        <v>577.16</v>
      </c>
      <c r="F472" s="2">
        <f>IFERROR(__xludf.DUMMYFUNCTION("""COMPUTED_VALUE"""),1.1053743E7)</f>
        <v>11053743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IFERROR(__xludf.DUMMYFUNCTION("""COMPUTED_VALUE"""),571.22)</f>
        <v>571.22</v>
      </c>
      <c r="C473" s="2">
        <f>IFERROR(__xludf.DUMMYFUNCTION("""COMPUTED_VALUE"""),572.57)</f>
        <v>572.57</v>
      </c>
      <c r="D473" s="2">
        <f>IFERROR(__xludf.DUMMYFUNCTION("""COMPUTED_VALUE"""),551.5)</f>
        <v>551.5</v>
      </c>
      <c r="E473" s="2">
        <f>IFERROR(__xludf.DUMMYFUNCTION("""COMPUTED_VALUE"""),554.08)</f>
        <v>554.08</v>
      </c>
      <c r="F473" s="2">
        <f>IFERROR(__xludf.DUMMYFUNCTION("""COMPUTED_VALUE"""),1.7712864E7)</f>
        <v>17712864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IFERROR(__xludf.DUMMYFUNCTION("""COMPUTED_VALUE"""),557.04)</f>
        <v>557.04</v>
      </c>
      <c r="C474" s="2">
        <f>IFERROR(__xludf.DUMMYFUNCTION("""COMPUTED_VALUE"""),559.9)</f>
        <v>559.9</v>
      </c>
      <c r="D474" s="2">
        <f>IFERROR(__xludf.DUMMYFUNCTION("""COMPUTED_VALUE"""),550.09)</f>
        <v>550.09</v>
      </c>
      <c r="E474" s="2">
        <f>IFERROR(__xludf.DUMMYFUNCTION("""COMPUTED_VALUE"""),554.4)</f>
        <v>554.4</v>
      </c>
      <c r="F474" s="2">
        <f>IFERROR(__xludf.DUMMYFUNCTION("""COMPUTED_VALUE"""),1.4346715E7)</f>
        <v>14346715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IFERROR(__xludf.DUMMYFUNCTION("""COMPUTED_VALUE"""),551.86)</f>
        <v>551.86</v>
      </c>
      <c r="C475" s="2">
        <f>IFERROR(__xludf.DUMMYFUNCTION("""COMPUTED_VALUE"""),561.43)</f>
        <v>561.43</v>
      </c>
      <c r="D475" s="2">
        <f>IFERROR(__xludf.DUMMYFUNCTION("""COMPUTED_VALUE"""),550.6)</f>
        <v>550.6</v>
      </c>
      <c r="E475" s="2">
        <f>IFERROR(__xludf.DUMMYFUNCTION("""COMPUTED_VALUE"""),561.09)</f>
        <v>561.09</v>
      </c>
      <c r="F475" s="2">
        <f>IFERROR(__xludf.DUMMYFUNCTION("""COMPUTED_VALUE"""),9522445.0)</f>
        <v>9522445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IFERROR(__xludf.DUMMYFUNCTION("""COMPUTED_VALUE"""),562.93)</f>
        <v>562.93</v>
      </c>
      <c r="C476" s="2">
        <f>IFERROR(__xludf.DUMMYFUNCTION("""COMPUTED_VALUE"""),566.35)</f>
        <v>566.35</v>
      </c>
      <c r="D476" s="2">
        <f>IFERROR(__xludf.DUMMYFUNCTION("""COMPUTED_VALUE"""),554.2)</f>
        <v>554.2</v>
      </c>
      <c r="E476" s="2">
        <f>IFERROR(__xludf.DUMMYFUNCTION("""COMPUTED_VALUE"""),565.52)</f>
        <v>565.52</v>
      </c>
      <c r="F476" s="2">
        <f>IFERROR(__xludf.DUMMYFUNCTION("""COMPUTED_VALUE"""),9797339.0)</f>
        <v>9797339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IFERROR(__xludf.DUMMYFUNCTION("""COMPUTED_VALUE"""),569.52)</f>
        <v>569.52</v>
      </c>
      <c r="C477" s="2">
        <f>IFERROR(__xludf.DUMMYFUNCTION("""COMPUTED_VALUE"""),570.0)</f>
        <v>570</v>
      </c>
      <c r="D477" s="2">
        <f>IFERROR(__xludf.DUMMYFUNCTION("""COMPUTED_VALUE"""),549.05)</f>
        <v>549.05</v>
      </c>
      <c r="E477" s="2">
        <f>IFERROR(__xludf.DUMMYFUNCTION("""COMPUTED_VALUE"""),563.09)</f>
        <v>563.09</v>
      </c>
      <c r="F477" s="2">
        <f>IFERROR(__xludf.DUMMYFUNCTION("""COMPUTED_VALUE"""),1.1154749E7)</f>
        <v>11154749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IFERROR(__xludf.DUMMYFUNCTION("""COMPUTED_VALUE"""),563.55)</f>
        <v>563.55</v>
      </c>
      <c r="C478" s="2">
        <f>IFERROR(__xludf.DUMMYFUNCTION("""COMPUTED_VALUE"""),563.83)</f>
        <v>563.83</v>
      </c>
      <c r="D478" s="2">
        <f>IFERROR(__xludf.DUMMYFUNCTION("""COMPUTED_VALUE"""),554.59)</f>
        <v>554.59</v>
      </c>
      <c r="E478" s="2">
        <f>IFERROR(__xludf.DUMMYFUNCTION("""COMPUTED_VALUE"""),559.14)</f>
        <v>559.14</v>
      </c>
      <c r="F478" s="2">
        <f>IFERROR(__xludf.DUMMYFUNCTION("""COMPUTED_VALUE"""),9164004.0)</f>
        <v>9164004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IFERROR(__xludf.DUMMYFUNCTION("""COMPUTED_VALUE"""),562.1)</f>
        <v>562.1</v>
      </c>
      <c r="C479" s="2">
        <f>IFERROR(__xludf.DUMMYFUNCTION("""COMPUTED_VALUE"""),572.59)</f>
        <v>572.59</v>
      </c>
      <c r="D479" s="2">
        <f>IFERROR(__xludf.DUMMYFUNCTION("""COMPUTED_VALUE"""),556.39)</f>
        <v>556.39</v>
      </c>
      <c r="E479" s="2">
        <f>IFERROR(__xludf.DUMMYFUNCTION("""COMPUTED_VALUE"""),565.11)</f>
        <v>565.11</v>
      </c>
      <c r="F479" s="2">
        <f>IFERROR(__xludf.DUMMYFUNCTION("""COMPUTED_VALUE"""),1.359983E7)</f>
        <v>13599830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IFERROR(__xludf.DUMMYFUNCTION("""COMPUTED_VALUE"""),566.0)</f>
        <v>566</v>
      </c>
      <c r="C480" s="2">
        <f>IFERROR(__xludf.DUMMYFUNCTION("""COMPUTED_VALUE"""),577.5)</f>
        <v>577.5</v>
      </c>
      <c r="D480" s="2">
        <f>IFERROR(__xludf.DUMMYFUNCTION("""COMPUTED_VALUE"""),565.2)</f>
        <v>565.2</v>
      </c>
      <c r="E480" s="2">
        <f>IFERROR(__xludf.DUMMYFUNCTION("""COMPUTED_VALUE"""),573.54)</f>
        <v>573.54</v>
      </c>
      <c r="F480" s="2">
        <f>IFERROR(__xludf.DUMMYFUNCTION("""COMPUTED_VALUE"""),1.035655E7)</f>
        <v>10356550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IFERROR(__xludf.DUMMYFUNCTION("""COMPUTED_VALUE"""),574.89)</f>
        <v>574.89</v>
      </c>
      <c r="C481" s="2">
        <f>IFERROR(__xludf.DUMMYFUNCTION("""COMPUTED_VALUE"""),574.98)</f>
        <v>574.98</v>
      </c>
      <c r="D481" s="2">
        <f>IFERROR(__xludf.DUMMYFUNCTION("""COMPUTED_VALUE"""),564.1)</f>
        <v>564.1</v>
      </c>
      <c r="E481" s="2">
        <f>IFERROR(__xludf.DUMMYFUNCTION("""COMPUTED_VALUE"""),569.2)</f>
        <v>569.2</v>
      </c>
      <c r="F481" s="2">
        <f>IFERROR(__xludf.DUMMYFUNCTION("""COMPUTED_VALUE"""),7200228.0)</f>
        <v>7200228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IFERROR(__xludf.DUMMYFUNCTION("""COMPUTED_VALUE"""),569.0)</f>
        <v>569</v>
      </c>
      <c r="C482" s="2">
        <f>IFERROR(__xludf.DUMMYFUNCTION("""COMPUTED_VALUE"""),578.46)</f>
        <v>578.46</v>
      </c>
      <c r="D482" s="2">
        <f>IFERROR(__xludf.DUMMYFUNCTION("""COMPUTED_VALUE"""),566.9)</f>
        <v>566.9</v>
      </c>
      <c r="E482" s="2">
        <f>IFERROR(__xludf.DUMMYFUNCTION("""COMPUTED_VALUE"""),574.32)</f>
        <v>574.32</v>
      </c>
      <c r="F482" s="2">
        <f>IFERROR(__xludf.DUMMYFUNCTION("""COMPUTED_VALUE"""),7130519.0)</f>
        <v>7130519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IFERROR(__xludf.DUMMYFUNCTION("""COMPUTED_VALUE"""),577.5)</f>
        <v>577.5</v>
      </c>
      <c r="C483" s="2">
        <f>IFERROR(__xludf.DUMMYFUNCTION("""COMPUTED_VALUE"""),594.5)</f>
        <v>594.5</v>
      </c>
      <c r="D483" s="2">
        <f>IFERROR(__xludf.DUMMYFUNCTION("""COMPUTED_VALUE"""),575.57)</f>
        <v>575.57</v>
      </c>
      <c r="E483" s="2">
        <f>IFERROR(__xludf.DUMMYFUNCTION("""COMPUTED_VALUE"""),592.83)</f>
        <v>592.83</v>
      </c>
      <c r="F483" s="2">
        <f>IFERROR(__xludf.DUMMYFUNCTION("""COMPUTED_VALUE"""),1.2522371E7)</f>
        <v>12522371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IFERROR(__xludf.DUMMYFUNCTION("""COMPUTED_VALUE"""),595.0)</f>
        <v>595</v>
      </c>
      <c r="C484" s="2">
        <f>IFERROR(__xludf.DUMMYFUNCTION("""COMPUTED_VALUE"""),614.2)</f>
        <v>614.2</v>
      </c>
      <c r="D484" s="2">
        <f>IFERROR(__xludf.DUMMYFUNCTION("""COMPUTED_VALUE"""),591.25)</f>
        <v>591.25</v>
      </c>
      <c r="E484" s="2">
        <f>IFERROR(__xludf.DUMMYFUNCTION("""COMPUTED_VALUE"""),613.65)</f>
        <v>613.65</v>
      </c>
      <c r="F484" s="2">
        <f>IFERROR(__xludf.DUMMYFUNCTION("""COMPUTED_VALUE"""),1.4907164E7)</f>
        <v>14907164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IFERROR(__xludf.DUMMYFUNCTION("""COMPUTED_VALUE"""),612.96)</f>
        <v>612.96</v>
      </c>
      <c r="C485" s="2">
        <f>IFERROR(__xludf.DUMMYFUNCTION("""COMPUTED_VALUE"""),617.78)</f>
        <v>617.78</v>
      </c>
      <c r="D485" s="2">
        <f>IFERROR(__xludf.DUMMYFUNCTION("""COMPUTED_VALUE"""),605.1)</f>
        <v>605.1</v>
      </c>
      <c r="E485" s="2">
        <f>IFERROR(__xludf.DUMMYFUNCTION("""COMPUTED_VALUE"""),613.78)</f>
        <v>613.78</v>
      </c>
      <c r="F485" s="2">
        <f>IFERROR(__xludf.DUMMYFUNCTION("""COMPUTED_VALUE"""),1.4697006E7)</f>
        <v>14697006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IFERROR(__xludf.DUMMYFUNCTION("""COMPUTED_VALUE"""),617.08)</f>
        <v>617.08</v>
      </c>
      <c r="C486" s="2">
        <f>IFERROR(__xludf.DUMMYFUNCTION("""COMPUTED_VALUE"""),619.9)</f>
        <v>619.9</v>
      </c>
      <c r="D486" s="2">
        <f>IFERROR(__xludf.DUMMYFUNCTION("""COMPUTED_VALUE"""),607.05)</f>
        <v>607.05</v>
      </c>
      <c r="E486" s="2">
        <f>IFERROR(__xludf.DUMMYFUNCTION("""COMPUTED_VALUE"""),608.93)</f>
        <v>608.93</v>
      </c>
      <c r="F486" s="2">
        <f>IFERROR(__xludf.DUMMYFUNCTION("""COMPUTED_VALUE"""),8081212.0)</f>
        <v>8081212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IFERROR(__xludf.DUMMYFUNCTION("""COMPUTED_VALUE"""),610.1)</f>
        <v>610.1</v>
      </c>
      <c r="C487" s="2">
        <f>IFERROR(__xludf.DUMMYFUNCTION("""COMPUTED_VALUE"""),629.79)</f>
        <v>629.79</v>
      </c>
      <c r="D487" s="2">
        <f>IFERROR(__xludf.DUMMYFUNCTION("""COMPUTED_VALUE"""),608.53)</f>
        <v>608.53</v>
      </c>
      <c r="E487" s="2">
        <f>IFERROR(__xludf.DUMMYFUNCTION("""COMPUTED_VALUE"""),623.77)</f>
        <v>623.77</v>
      </c>
      <c r="F487" s="2">
        <f>IFERROR(__xludf.DUMMYFUNCTION("""COMPUTED_VALUE"""),1.6935503E7)</f>
        <v>16935503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IFERROR(__xludf.DUMMYFUNCTION("""COMPUTED_VALUE"""),623.92)</f>
        <v>623.92</v>
      </c>
      <c r="C488" s="2">
        <f>IFERROR(__xludf.DUMMYFUNCTION("""COMPUTED_VALUE"""),626.4)</f>
        <v>626.4</v>
      </c>
      <c r="D488" s="2">
        <f>IFERROR(__xludf.DUMMYFUNCTION("""COMPUTED_VALUE"""),606.17)</f>
        <v>606.17</v>
      </c>
      <c r="E488" s="2">
        <f>IFERROR(__xludf.DUMMYFUNCTION("""COMPUTED_VALUE"""),613.57)</f>
        <v>613.57</v>
      </c>
      <c r="F488" s="2">
        <f>IFERROR(__xludf.DUMMYFUNCTION("""COMPUTED_VALUE"""),1.1426015E7)</f>
        <v>11426015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IFERROR(__xludf.DUMMYFUNCTION("""COMPUTED_VALUE"""),617.56)</f>
        <v>617.56</v>
      </c>
      <c r="C489" s="2">
        <f>IFERROR(__xludf.DUMMYFUNCTION("""COMPUTED_VALUE"""),625.59)</f>
        <v>625.59</v>
      </c>
      <c r="D489" s="2">
        <f>IFERROR(__xludf.DUMMYFUNCTION("""COMPUTED_VALUE"""),612.74)</f>
        <v>612.74</v>
      </c>
      <c r="E489" s="2">
        <f>IFERROR(__xludf.DUMMYFUNCTION("""COMPUTED_VALUE"""),619.32)</f>
        <v>619.32</v>
      </c>
      <c r="F489" s="2">
        <f>IFERROR(__xludf.DUMMYFUNCTION("""COMPUTED_VALUE"""),1.0938854E7)</f>
        <v>10938854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IFERROR(__xludf.DUMMYFUNCTION("""COMPUTED_VALUE"""),623.37)</f>
        <v>623.37</v>
      </c>
      <c r="C490" s="2">
        <f>IFERROR(__xludf.DUMMYFUNCTION("""COMPUTED_VALUE"""),638.4)</f>
        <v>638.4</v>
      </c>
      <c r="D490" s="2">
        <f>IFERROR(__xludf.DUMMYFUNCTION("""COMPUTED_VALUE"""),621.53)</f>
        <v>621.53</v>
      </c>
      <c r="E490" s="2">
        <f>IFERROR(__xludf.DUMMYFUNCTION("""COMPUTED_VALUE"""),632.68)</f>
        <v>632.68</v>
      </c>
      <c r="F490" s="2">
        <f>IFERROR(__xludf.DUMMYFUNCTION("""COMPUTED_VALUE"""),1.0837228E7)</f>
        <v>10837228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IFERROR(__xludf.DUMMYFUNCTION("""COMPUTED_VALUE"""),631.5)</f>
        <v>631.5</v>
      </c>
      <c r="C491" s="2">
        <f>IFERROR(__xludf.DUMMYFUNCTION("""COMPUTED_VALUE"""),636.66)</f>
        <v>636.66</v>
      </c>
      <c r="D491" s="2">
        <f>IFERROR(__xludf.DUMMYFUNCTION("""COMPUTED_VALUE"""),627.21)</f>
        <v>627.21</v>
      </c>
      <c r="E491" s="2">
        <f>IFERROR(__xludf.DUMMYFUNCTION("""COMPUTED_VALUE"""),630.79)</f>
        <v>630.79</v>
      </c>
      <c r="F491" s="2">
        <f>IFERROR(__xludf.DUMMYFUNCTION("""COMPUTED_VALUE"""),7474717.0)</f>
        <v>7474717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IFERROR(__xludf.DUMMYFUNCTION("""COMPUTED_VALUE"""),627.22)</f>
        <v>627.22</v>
      </c>
      <c r="C492" s="2">
        <f>IFERROR(__xludf.DUMMYFUNCTION("""COMPUTED_VALUE"""),631.08)</f>
        <v>631.08</v>
      </c>
      <c r="D492" s="2">
        <f>IFERROR(__xludf.DUMMYFUNCTION("""COMPUTED_VALUE"""),616.89)</f>
        <v>616.89</v>
      </c>
      <c r="E492" s="2">
        <f>IFERROR(__xludf.DUMMYFUNCTION("""COMPUTED_VALUE"""),620.35)</f>
        <v>620.35</v>
      </c>
      <c r="F492" s="2">
        <f>IFERROR(__xludf.DUMMYFUNCTION("""COMPUTED_VALUE"""),8453349.0)</f>
        <v>8453349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IFERROR(__xludf.DUMMYFUNCTION("""COMPUTED_VALUE"""),629.98)</f>
        <v>629.98</v>
      </c>
      <c r="C493" s="2">
        <f>IFERROR(__xludf.DUMMYFUNCTION("""COMPUTED_VALUE"""),631.15)</f>
        <v>631.15</v>
      </c>
      <c r="D493" s="2">
        <f>IFERROR(__xludf.DUMMYFUNCTION("""COMPUTED_VALUE"""),618.58)</f>
        <v>618.58</v>
      </c>
      <c r="E493" s="2">
        <f>IFERROR(__xludf.DUMMYFUNCTION("""COMPUTED_VALUE"""),624.24)</f>
        <v>624.24</v>
      </c>
      <c r="F493" s="2">
        <f>IFERROR(__xludf.DUMMYFUNCTION("""COMPUTED_VALUE"""),1.0885625E7)</f>
        <v>10885625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IFERROR(__xludf.DUMMYFUNCTION("""COMPUTED_VALUE"""),626.17)</f>
        <v>626.17</v>
      </c>
      <c r="C494" s="2">
        <f>IFERROR(__xludf.DUMMYFUNCTION("""COMPUTED_VALUE"""),632.37)</f>
        <v>632.37</v>
      </c>
      <c r="D494" s="2">
        <f>IFERROR(__xludf.DUMMYFUNCTION("""COMPUTED_VALUE"""),616.54)</f>
        <v>616.54</v>
      </c>
      <c r="E494" s="2">
        <f>IFERROR(__xludf.DUMMYFUNCTION("""COMPUTED_VALUE"""),619.44)</f>
        <v>619.44</v>
      </c>
      <c r="F494" s="2">
        <f>IFERROR(__xludf.DUMMYFUNCTION("""COMPUTED_VALUE"""),1.2897842E7)</f>
        <v>12897842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IFERROR(__xludf.DUMMYFUNCTION("GOOGLEFINANCE(""MSFT"",""all"",DATE(2023,1,1),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IFERROR(__xludf.DUMMYFUNCTION("""COMPUTED_VALUE"""),243.08)</f>
        <v>243.08</v>
      </c>
      <c r="C2" s="2">
        <f>IFERROR(__xludf.DUMMYFUNCTION("""COMPUTED_VALUE"""),245.75)</f>
        <v>245.75</v>
      </c>
      <c r="D2" s="2">
        <f>IFERROR(__xludf.DUMMYFUNCTION("""COMPUTED_VALUE"""),237.4)</f>
        <v>237.4</v>
      </c>
      <c r="E2" s="2">
        <f>IFERROR(__xludf.DUMMYFUNCTION("""COMPUTED_VALUE"""),239.58)</f>
        <v>239.58</v>
      </c>
      <c r="F2" s="2">
        <f>IFERROR(__xludf.DUMMYFUNCTION("""COMPUTED_VALUE"""),2.5740036E7)</f>
        <v>25740036</v>
      </c>
    </row>
    <row r="3">
      <c r="A3" s="3">
        <f>IFERROR(__xludf.DUMMYFUNCTION("""COMPUTED_VALUE"""),44930.66666666667)</f>
        <v>44930.66667</v>
      </c>
      <c r="B3" s="2">
        <f>IFERROR(__xludf.DUMMYFUNCTION("""COMPUTED_VALUE"""),232.28)</f>
        <v>232.28</v>
      </c>
      <c r="C3" s="2">
        <f>IFERROR(__xludf.DUMMYFUNCTION("""COMPUTED_VALUE"""),232.87)</f>
        <v>232.87</v>
      </c>
      <c r="D3" s="2">
        <f>IFERROR(__xludf.DUMMYFUNCTION("""COMPUTED_VALUE"""),225.96)</f>
        <v>225.96</v>
      </c>
      <c r="E3" s="2">
        <f>IFERROR(__xludf.DUMMYFUNCTION("""COMPUTED_VALUE"""),229.1)</f>
        <v>229.1</v>
      </c>
      <c r="F3" s="2">
        <f>IFERROR(__xludf.DUMMYFUNCTION("""COMPUTED_VALUE"""),5.0623394E7)</f>
        <v>50623394</v>
      </c>
    </row>
    <row r="4">
      <c r="A4" s="3">
        <f>IFERROR(__xludf.DUMMYFUNCTION("""COMPUTED_VALUE"""),44931.66666666667)</f>
        <v>44931.66667</v>
      </c>
      <c r="B4" s="2">
        <f>IFERROR(__xludf.DUMMYFUNCTION("""COMPUTED_VALUE"""),227.2)</f>
        <v>227.2</v>
      </c>
      <c r="C4" s="2">
        <f>IFERROR(__xludf.DUMMYFUNCTION("""COMPUTED_VALUE"""),227.55)</f>
        <v>227.55</v>
      </c>
      <c r="D4" s="2">
        <f>IFERROR(__xludf.DUMMYFUNCTION("""COMPUTED_VALUE"""),221.76)</f>
        <v>221.76</v>
      </c>
      <c r="E4" s="2">
        <f>IFERROR(__xludf.DUMMYFUNCTION("""COMPUTED_VALUE"""),222.31)</f>
        <v>222.31</v>
      </c>
      <c r="F4" s="2">
        <f>IFERROR(__xludf.DUMMYFUNCTION("""COMPUTED_VALUE"""),3.9585623E7)</f>
        <v>39585623</v>
      </c>
    </row>
    <row r="5">
      <c r="A5" s="3">
        <f>IFERROR(__xludf.DUMMYFUNCTION("""COMPUTED_VALUE"""),44932.66666666667)</f>
        <v>44932.66667</v>
      </c>
      <c r="B5" s="2">
        <f>IFERROR(__xludf.DUMMYFUNCTION("""COMPUTED_VALUE"""),223.0)</f>
        <v>223</v>
      </c>
      <c r="C5" s="2">
        <f>IFERROR(__xludf.DUMMYFUNCTION("""COMPUTED_VALUE"""),225.76)</f>
        <v>225.76</v>
      </c>
      <c r="D5" s="2">
        <f>IFERROR(__xludf.DUMMYFUNCTION("""COMPUTED_VALUE"""),219.35)</f>
        <v>219.35</v>
      </c>
      <c r="E5" s="2">
        <f>IFERROR(__xludf.DUMMYFUNCTION("""COMPUTED_VALUE"""),224.93)</f>
        <v>224.93</v>
      </c>
      <c r="F5" s="2">
        <f>IFERROR(__xludf.DUMMYFUNCTION("""COMPUTED_VALUE"""),4.3613574E7)</f>
        <v>43613574</v>
      </c>
    </row>
    <row r="6">
      <c r="A6" s="3">
        <f>IFERROR(__xludf.DUMMYFUNCTION("""COMPUTED_VALUE"""),44935.66666666667)</f>
        <v>44935.66667</v>
      </c>
      <c r="B6" s="2">
        <f>IFERROR(__xludf.DUMMYFUNCTION("""COMPUTED_VALUE"""),226.45)</f>
        <v>226.45</v>
      </c>
      <c r="C6" s="2">
        <f>IFERROR(__xludf.DUMMYFUNCTION("""COMPUTED_VALUE"""),231.24)</f>
        <v>231.24</v>
      </c>
      <c r="D6" s="2">
        <f>IFERROR(__xludf.DUMMYFUNCTION("""COMPUTED_VALUE"""),226.41)</f>
        <v>226.41</v>
      </c>
      <c r="E6" s="2">
        <f>IFERROR(__xludf.DUMMYFUNCTION("""COMPUTED_VALUE"""),227.12)</f>
        <v>227.12</v>
      </c>
      <c r="F6" s="2">
        <f>IFERROR(__xludf.DUMMYFUNCTION("""COMPUTED_VALUE"""),2.7369784E7)</f>
        <v>27369784</v>
      </c>
    </row>
    <row r="7">
      <c r="A7" s="3">
        <f>IFERROR(__xludf.DUMMYFUNCTION("""COMPUTED_VALUE"""),44936.66666666667)</f>
        <v>44936.66667</v>
      </c>
      <c r="B7" s="2">
        <f>IFERROR(__xludf.DUMMYFUNCTION("""COMPUTED_VALUE"""),227.76)</f>
        <v>227.76</v>
      </c>
      <c r="C7" s="2">
        <f>IFERROR(__xludf.DUMMYFUNCTION("""COMPUTED_VALUE"""),231.31)</f>
        <v>231.31</v>
      </c>
      <c r="D7" s="2">
        <f>IFERROR(__xludf.DUMMYFUNCTION("""COMPUTED_VALUE"""),227.33)</f>
        <v>227.33</v>
      </c>
      <c r="E7" s="2">
        <f>IFERROR(__xludf.DUMMYFUNCTION("""COMPUTED_VALUE"""),228.85)</f>
        <v>228.85</v>
      </c>
      <c r="F7" s="2">
        <f>IFERROR(__xludf.DUMMYFUNCTION("""COMPUTED_VALUE"""),2.7033881E7)</f>
        <v>27033881</v>
      </c>
    </row>
    <row r="8">
      <c r="A8" s="3">
        <f>IFERROR(__xludf.DUMMYFUNCTION("""COMPUTED_VALUE"""),44937.66666666667)</f>
        <v>44937.66667</v>
      </c>
      <c r="B8" s="2">
        <f>IFERROR(__xludf.DUMMYFUNCTION("""COMPUTED_VALUE"""),231.29)</f>
        <v>231.29</v>
      </c>
      <c r="C8" s="2">
        <f>IFERROR(__xludf.DUMMYFUNCTION("""COMPUTED_VALUE"""),235.95)</f>
        <v>235.95</v>
      </c>
      <c r="D8" s="2">
        <f>IFERROR(__xludf.DUMMYFUNCTION("""COMPUTED_VALUE"""),231.11)</f>
        <v>231.11</v>
      </c>
      <c r="E8" s="2">
        <f>IFERROR(__xludf.DUMMYFUNCTION("""COMPUTED_VALUE"""),235.77)</f>
        <v>235.77</v>
      </c>
      <c r="F8" s="2">
        <f>IFERROR(__xludf.DUMMYFUNCTION("""COMPUTED_VALUE"""),2.8669331E7)</f>
        <v>28669331</v>
      </c>
    </row>
    <row r="9">
      <c r="A9" s="3">
        <f>IFERROR(__xludf.DUMMYFUNCTION("""COMPUTED_VALUE"""),44938.66666666667)</f>
        <v>44938.66667</v>
      </c>
      <c r="B9" s="2">
        <f>IFERROR(__xludf.DUMMYFUNCTION("""COMPUTED_VALUE"""),235.26)</f>
        <v>235.26</v>
      </c>
      <c r="C9" s="2">
        <f>IFERROR(__xludf.DUMMYFUNCTION("""COMPUTED_VALUE"""),239.9)</f>
        <v>239.9</v>
      </c>
      <c r="D9" s="2">
        <f>IFERROR(__xludf.DUMMYFUNCTION("""COMPUTED_VALUE"""),233.56)</f>
        <v>233.56</v>
      </c>
      <c r="E9" s="2">
        <f>IFERROR(__xludf.DUMMYFUNCTION("""COMPUTED_VALUE"""),238.51)</f>
        <v>238.51</v>
      </c>
      <c r="F9" s="2">
        <f>IFERROR(__xludf.DUMMYFUNCTION("""COMPUTED_VALUE"""),2.7269486E7)</f>
        <v>27269486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IFERROR(__xludf.DUMMYFUNCTION("""COMPUTED_VALUE"""),237.0)</f>
        <v>237</v>
      </c>
      <c r="C10" s="2">
        <f>IFERROR(__xludf.DUMMYFUNCTION("""COMPUTED_VALUE"""),239.37)</f>
        <v>239.37</v>
      </c>
      <c r="D10" s="2">
        <f>IFERROR(__xludf.DUMMYFUNCTION("""COMPUTED_VALUE"""),234.92)</f>
        <v>234.92</v>
      </c>
      <c r="E10" s="2">
        <f>IFERROR(__xludf.DUMMYFUNCTION("""COMPUTED_VALUE"""),239.23)</f>
        <v>239.23</v>
      </c>
      <c r="F10" s="2">
        <f>IFERROR(__xludf.DUMMYFUNCTION("""COMPUTED_VALUE"""),2.1333265E7)</f>
        <v>21333265</v>
      </c>
    </row>
    <row r="11">
      <c r="A11" s="3">
        <f>IFERROR(__xludf.DUMMYFUNCTION("""COMPUTED_VALUE"""),44943.66666666667)</f>
        <v>44943.66667</v>
      </c>
      <c r="B11" s="2">
        <f>IFERROR(__xludf.DUMMYFUNCTION("""COMPUTED_VALUE"""),237.97)</f>
        <v>237.97</v>
      </c>
      <c r="C11" s="2">
        <f>IFERROR(__xludf.DUMMYFUNCTION("""COMPUTED_VALUE"""),240.91)</f>
        <v>240.91</v>
      </c>
      <c r="D11" s="2">
        <f>IFERROR(__xludf.DUMMYFUNCTION("""COMPUTED_VALUE"""),237.09)</f>
        <v>237.09</v>
      </c>
      <c r="E11" s="2">
        <f>IFERROR(__xludf.DUMMYFUNCTION("""COMPUTED_VALUE"""),240.35)</f>
        <v>240.35</v>
      </c>
      <c r="F11" s="2">
        <f>IFERROR(__xludf.DUMMYFUNCTION("""COMPUTED_VALUE"""),2.9831257E7)</f>
        <v>29831257</v>
      </c>
    </row>
    <row r="12">
      <c r="A12" s="3">
        <f>IFERROR(__xludf.DUMMYFUNCTION("""COMPUTED_VALUE"""),44944.66666666667)</f>
        <v>44944.66667</v>
      </c>
      <c r="B12" s="2">
        <f>IFERROR(__xludf.DUMMYFUNCTION("""COMPUTED_VALUE"""),241.57)</f>
        <v>241.57</v>
      </c>
      <c r="C12" s="2">
        <f>IFERROR(__xludf.DUMMYFUNCTION("""COMPUTED_VALUE"""),242.38)</f>
        <v>242.38</v>
      </c>
      <c r="D12" s="2">
        <f>IFERROR(__xludf.DUMMYFUNCTION("""COMPUTED_VALUE"""),235.52)</f>
        <v>235.52</v>
      </c>
      <c r="E12" s="2">
        <f>IFERROR(__xludf.DUMMYFUNCTION("""COMPUTED_VALUE"""),235.81)</f>
        <v>235.81</v>
      </c>
      <c r="F12" s="2">
        <f>IFERROR(__xludf.DUMMYFUNCTION("""COMPUTED_VALUE"""),3.0028692E7)</f>
        <v>30028692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IFERROR(__xludf.DUMMYFUNCTION("""COMPUTED_VALUE"""),233.78)</f>
        <v>233.78</v>
      </c>
      <c r="C13" s="2">
        <f>IFERROR(__xludf.DUMMYFUNCTION("""COMPUTED_VALUE"""),235.52)</f>
        <v>235.52</v>
      </c>
      <c r="D13" s="2">
        <f>IFERROR(__xludf.DUMMYFUNCTION("""COMPUTED_VALUE"""),230.68)</f>
        <v>230.68</v>
      </c>
      <c r="E13" s="2">
        <f>IFERROR(__xludf.DUMMYFUNCTION("""COMPUTED_VALUE"""),231.93)</f>
        <v>231.93</v>
      </c>
      <c r="F13" s="2">
        <f>IFERROR(__xludf.DUMMYFUNCTION("""COMPUTED_VALUE"""),2.8623033E7)</f>
        <v>28623033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IFERROR(__xludf.DUMMYFUNCTION("""COMPUTED_VALUE"""),234.86)</f>
        <v>234.86</v>
      </c>
      <c r="C14" s="2">
        <f>IFERROR(__xludf.DUMMYFUNCTION("""COMPUTED_VALUE"""),240.74)</f>
        <v>240.74</v>
      </c>
      <c r="D14" s="2">
        <f>IFERROR(__xludf.DUMMYFUNCTION("""COMPUTED_VALUE"""),234.51)</f>
        <v>234.51</v>
      </c>
      <c r="E14" s="2">
        <f>IFERROR(__xludf.DUMMYFUNCTION("""COMPUTED_VALUE"""),240.22)</f>
        <v>240.22</v>
      </c>
      <c r="F14" s="2">
        <f>IFERROR(__xludf.DUMMYFUNCTION("""COMPUTED_VALUE"""),3.5389809E7)</f>
        <v>35389809</v>
      </c>
    </row>
    <row r="15">
      <c r="A15" s="3">
        <f>IFERROR(__xludf.DUMMYFUNCTION("""COMPUTED_VALUE"""),44949.66666666667)</f>
        <v>44949.66667</v>
      </c>
      <c r="B15" s="2">
        <f>IFERROR(__xludf.DUMMYFUNCTION("""COMPUTED_VALUE"""),241.1)</f>
        <v>241.1</v>
      </c>
      <c r="C15" s="2">
        <f>IFERROR(__xludf.DUMMYFUNCTION("""COMPUTED_VALUE"""),245.17)</f>
        <v>245.17</v>
      </c>
      <c r="D15" s="2">
        <f>IFERROR(__xludf.DUMMYFUNCTION("""COMPUTED_VALUE"""),239.65)</f>
        <v>239.65</v>
      </c>
      <c r="E15" s="2">
        <f>IFERROR(__xludf.DUMMYFUNCTION("""COMPUTED_VALUE"""),242.58)</f>
        <v>242.58</v>
      </c>
      <c r="F15" s="2">
        <f>IFERROR(__xludf.DUMMYFUNCTION("""COMPUTED_VALUE"""),3.1933951E7)</f>
        <v>31933951</v>
      </c>
    </row>
    <row r="16">
      <c r="A16" s="3">
        <f>IFERROR(__xludf.DUMMYFUNCTION("""COMPUTED_VALUE"""),44950.66666666667)</f>
        <v>44950.66667</v>
      </c>
      <c r="B16" s="2">
        <f>IFERROR(__xludf.DUMMYFUNCTION("""COMPUTED_VALUE"""),242.5)</f>
        <v>242.5</v>
      </c>
      <c r="C16" s="2">
        <f>IFERROR(__xludf.DUMMYFUNCTION("""COMPUTED_VALUE"""),243.95)</f>
        <v>243.95</v>
      </c>
      <c r="D16" s="2">
        <f>IFERROR(__xludf.DUMMYFUNCTION("""COMPUTED_VALUE"""),240.44)</f>
        <v>240.44</v>
      </c>
      <c r="E16" s="2">
        <f>IFERROR(__xludf.DUMMYFUNCTION("""COMPUTED_VALUE"""),242.04)</f>
        <v>242.04</v>
      </c>
      <c r="F16" s="2">
        <f>IFERROR(__xludf.DUMMYFUNCTION("""COMPUTED_VALUE"""),4.0234444E7)</f>
        <v>40234444</v>
      </c>
    </row>
    <row r="17">
      <c r="A17" s="3">
        <f>IFERROR(__xludf.DUMMYFUNCTION("""COMPUTED_VALUE"""),44951.66666666667)</f>
        <v>44951.66667</v>
      </c>
      <c r="B17" s="2">
        <f>IFERROR(__xludf.DUMMYFUNCTION("""COMPUTED_VALUE"""),234.48)</f>
        <v>234.48</v>
      </c>
      <c r="C17" s="2">
        <f>IFERROR(__xludf.DUMMYFUNCTION("""COMPUTED_VALUE"""),243.3)</f>
        <v>243.3</v>
      </c>
      <c r="D17" s="2">
        <f>IFERROR(__xludf.DUMMYFUNCTION("""COMPUTED_VALUE"""),230.9)</f>
        <v>230.9</v>
      </c>
      <c r="E17" s="2">
        <f>IFERROR(__xludf.DUMMYFUNCTION("""COMPUTED_VALUE"""),240.61)</f>
        <v>240.61</v>
      </c>
      <c r="F17" s="2">
        <f>IFERROR(__xludf.DUMMYFUNCTION("""COMPUTED_VALUE"""),6.6526641E7)</f>
        <v>66526641</v>
      </c>
    </row>
    <row r="18">
      <c r="A18" s="3">
        <f>IFERROR(__xludf.DUMMYFUNCTION("""COMPUTED_VALUE"""),44952.66666666667)</f>
        <v>44952.66667</v>
      </c>
      <c r="B18" s="2">
        <f>IFERROR(__xludf.DUMMYFUNCTION("""COMPUTED_VALUE"""),243.65)</f>
        <v>243.65</v>
      </c>
      <c r="C18" s="2">
        <f>IFERROR(__xludf.DUMMYFUNCTION("""COMPUTED_VALUE"""),248.31)</f>
        <v>248.31</v>
      </c>
      <c r="D18" s="2">
        <f>IFERROR(__xludf.DUMMYFUNCTION("""COMPUTED_VALUE"""),242.0)</f>
        <v>242</v>
      </c>
      <c r="E18" s="2">
        <f>IFERROR(__xludf.DUMMYFUNCTION("""COMPUTED_VALUE"""),248.0)</f>
        <v>248</v>
      </c>
      <c r="F18" s="2">
        <f>IFERROR(__xludf.DUMMYFUNCTION("""COMPUTED_VALUE"""),3.3454491E7)</f>
        <v>33454491</v>
      </c>
    </row>
    <row r="19">
      <c r="A19" s="3">
        <f>IFERROR(__xludf.DUMMYFUNCTION("""COMPUTED_VALUE"""),44953.66666666667)</f>
        <v>44953.66667</v>
      </c>
      <c r="B19" s="2">
        <f>IFERROR(__xludf.DUMMYFUNCTION("""COMPUTED_VALUE"""),248.99)</f>
        <v>248.99</v>
      </c>
      <c r="C19" s="2">
        <f>IFERROR(__xludf.DUMMYFUNCTION("""COMPUTED_VALUE"""),249.83)</f>
        <v>249.83</v>
      </c>
      <c r="D19" s="2">
        <f>IFERROR(__xludf.DUMMYFUNCTION("""COMPUTED_VALUE"""),246.83)</f>
        <v>246.83</v>
      </c>
      <c r="E19" s="2">
        <f>IFERROR(__xludf.DUMMYFUNCTION("""COMPUTED_VALUE"""),248.16)</f>
        <v>248.16</v>
      </c>
      <c r="F19" s="2">
        <f>IFERROR(__xludf.DUMMYFUNCTION("""COMPUTED_VALUE"""),2.6498939E7)</f>
        <v>26498939</v>
      </c>
    </row>
    <row r="20">
      <c r="A20" s="3">
        <f>IFERROR(__xludf.DUMMYFUNCTION("""COMPUTED_VALUE"""),44956.66666666667)</f>
        <v>44956.66667</v>
      </c>
      <c r="B20" s="2">
        <f>IFERROR(__xludf.DUMMYFUNCTION("""COMPUTED_VALUE"""),244.51)</f>
        <v>244.51</v>
      </c>
      <c r="C20" s="2">
        <f>IFERROR(__xludf.DUMMYFUNCTION("""COMPUTED_VALUE"""),245.6)</f>
        <v>245.6</v>
      </c>
      <c r="D20" s="2">
        <f>IFERROR(__xludf.DUMMYFUNCTION("""COMPUTED_VALUE"""),242.2)</f>
        <v>242.2</v>
      </c>
      <c r="E20" s="2">
        <f>IFERROR(__xludf.DUMMYFUNCTION("""COMPUTED_VALUE"""),242.71)</f>
        <v>242.71</v>
      </c>
      <c r="F20" s="2">
        <f>IFERROR(__xludf.DUMMYFUNCTION("""COMPUTED_VALUE"""),2.5867365E7)</f>
        <v>25867365</v>
      </c>
    </row>
    <row r="21">
      <c r="A21" s="3">
        <f>IFERROR(__xludf.DUMMYFUNCTION("""COMPUTED_VALUE"""),44957.66666666667)</f>
        <v>44957.66667</v>
      </c>
      <c r="B21" s="2">
        <f>IFERROR(__xludf.DUMMYFUNCTION("""COMPUTED_VALUE"""),243.45)</f>
        <v>243.45</v>
      </c>
      <c r="C21" s="2">
        <f>IFERROR(__xludf.DUMMYFUNCTION("""COMPUTED_VALUE"""),247.95)</f>
        <v>247.95</v>
      </c>
      <c r="D21" s="2">
        <f>IFERROR(__xludf.DUMMYFUNCTION("""COMPUTED_VALUE"""),242.95)</f>
        <v>242.95</v>
      </c>
      <c r="E21" s="2">
        <f>IFERROR(__xludf.DUMMYFUNCTION("""COMPUTED_VALUE"""),247.81)</f>
        <v>247.81</v>
      </c>
      <c r="F21" s="2">
        <f>IFERROR(__xludf.DUMMYFUNCTION("""COMPUTED_VALUE"""),2.6541072E7)</f>
        <v>26541072</v>
      </c>
    </row>
    <row r="22">
      <c r="A22" s="3">
        <f>IFERROR(__xludf.DUMMYFUNCTION("""COMPUTED_VALUE"""),44958.66666666667)</f>
        <v>44958.66667</v>
      </c>
      <c r="B22" s="2">
        <f>IFERROR(__xludf.DUMMYFUNCTION("""COMPUTED_VALUE"""),248.0)</f>
        <v>248</v>
      </c>
      <c r="C22" s="2">
        <f>IFERROR(__xludf.DUMMYFUNCTION("""COMPUTED_VALUE"""),255.18)</f>
        <v>255.18</v>
      </c>
      <c r="D22" s="2">
        <f>IFERROR(__xludf.DUMMYFUNCTION("""COMPUTED_VALUE"""),245.47)</f>
        <v>245.47</v>
      </c>
      <c r="E22" s="2">
        <f>IFERROR(__xludf.DUMMYFUNCTION("""COMPUTED_VALUE"""),252.75)</f>
        <v>252.75</v>
      </c>
      <c r="F22" s="2">
        <f>IFERROR(__xludf.DUMMYFUNCTION("""COMPUTED_VALUE"""),3.1259912E7)</f>
        <v>31259912</v>
      </c>
    </row>
    <row r="23">
      <c r="A23" s="3">
        <f>IFERROR(__xludf.DUMMYFUNCTION("""COMPUTED_VALUE"""),44959.66666666667)</f>
        <v>44959.66667</v>
      </c>
      <c r="B23" s="2">
        <f>IFERROR(__xludf.DUMMYFUNCTION("""COMPUTED_VALUE"""),258.82)</f>
        <v>258.82</v>
      </c>
      <c r="C23" s="2">
        <f>IFERROR(__xludf.DUMMYFUNCTION("""COMPUTED_VALUE"""),264.69)</f>
        <v>264.69</v>
      </c>
      <c r="D23" s="2">
        <f>IFERROR(__xludf.DUMMYFUNCTION("""COMPUTED_VALUE"""),257.25)</f>
        <v>257.25</v>
      </c>
      <c r="E23" s="2">
        <f>IFERROR(__xludf.DUMMYFUNCTION("""COMPUTED_VALUE"""),264.6)</f>
        <v>264.6</v>
      </c>
      <c r="F23" s="2">
        <f>IFERROR(__xludf.DUMMYFUNCTION("""COMPUTED_VALUE"""),3.9940437E7)</f>
        <v>39940437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IFERROR(__xludf.DUMMYFUNCTION("""COMPUTED_VALUE"""),259.54)</f>
        <v>259.54</v>
      </c>
      <c r="C24" s="2">
        <f>IFERROR(__xludf.DUMMYFUNCTION("""COMPUTED_VALUE"""),264.2)</f>
        <v>264.2</v>
      </c>
      <c r="D24" s="2">
        <f>IFERROR(__xludf.DUMMYFUNCTION("""COMPUTED_VALUE"""),257.1)</f>
        <v>257.1</v>
      </c>
      <c r="E24" s="2">
        <f>IFERROR(__xludf.DUMMYFUNCTION("""COMPUTED_VALUE"""),258.35)</f>
        <v>258.35</v>
      </c>
      <c r="F24" s="2">
        <f>IFERROR(__xludf.DUMMYFUNCTION("""COMPUTED_VALUE"""),2.9077256E7)</f>
        <v>29077256</v>
      </c>
    </row>
    <row r="25">
      <c r="A25" s="3">
        <f>IFERROR(__xludf.DUMMYFUNCTION("""COMPUTED_VALUE"""),44963.66666666667)</f>
        <v>44963.66667</v>
      </c>
      <c r="B25" s="2">
        <f>IFERROR(__xludf.DUMMYFUNCTION("""COMPUTED_VALUE"""),257.44)</f>
        <v>257.44</v>
      </c>
      <c r="C25" s="2">
        <f>IFERROR(__xludf.DUMMYFUNCTION("""COMPUTED_VALUE"""),258.3)</f>
        <v>258.3</v>
      </c>
      <c r="D25" s="2">
        <f>IFERROR(__xludf.DUMMYFUNCTION("""COMPUTED_VALUE"""),254.78)</f>
        <v>254.78</v>
      </c>
      <c r="E25" s="2">
        <f>IFERROR(__xludf.DUMMYFUNCTION("""COMPUTED_VALUE"""),256.77)</f>
        <v>256.77</v>
      </c>
      <c r="F25" s="2">
        <f>IFERROR(__xludf.DUMMYFUNCTION("""COMPUTED_VALUE"""),2.2517997E7)</f>
        <v>22517997</v>
      </c>
    </row>
    <row r="26">
      <c r="A26" s="3">
        <f>IFERROR(__xludf.DUMMYFUNCTION("""COMPUTED_VALUE"""),44964.66666666667)</f>
        <v>44964.66667</v>
      </c>
      <c r="B26" s="2">
        <f>IFERROR(__xludf.DUMMYFUNCTION("""COMPUTED_VALUE"""),260.53)</f>
        <v>260.53</v>
      </c>
      <c r="C26" s="2">
        <f>IFERROR(__xludf.DUMMYFUNCTION("""COMPUTED_VALUE"""),268.77)</f>
        <v>268.77</v>
      </c>
      <c r="D26" s="2">
        <f>IFERROR(__xludf.DUMMYFUNCTION("""COMPUTED_VALUE"""),260.08)</f>
        <v>260.08</v>
      </c>
      <c r="E26" s="2">
        <f>IFERROR(__xludf.DUMMYFUNCTION("""COMPUTED_VALUE"""),267.56)</f>
        <v>267.56</v>
      </c>
      <c r="F26" s="2">
        <f>IFERROR(__xludf.DUMMYFUNCTION("""COMPUTED_VALUE"""),5.0841365E7)</f>
        <v>50841365</v>
      </c>
    </row>
    <row r="27">
      <c r="A27" s="3">
        <f>IFERROR(__xludf.DUMMYFUNCTION("""COMPUTED_VALUE"""),44965.66666666667)</f>
        <v>44965.66667</v>
      </c>
      <c r="B27" s="2">
        <f>IFERROR(__xludf.DUMMYFUNCTION("""COMPUTED_VALUE"""),273.2)</f>
        <v>273.2</v>
      </c>
      <c r="C27" s="2">
        <f>IFERROR(__xludf.DUMMYFUNCTION("""COMPUTED_VALUE"""),276.76)</f>
        <v>276.76</v>
      </c>
      <c r="D27" s="2">
        <f>IFERROR(__xludf.DUMMYFUNCTION("""COMPUTED_VALUE"""),266.21)</f>
        <v>266.21</v>
      </c>
      <c r="E27" s="2">
        <f>IFERROR(__xludf.DUMMYFUNCTION("""COMPUTED_VALUE"""),266.73)</f>
        <v>266.73</v>
      </c>
      <c r="F27" s="2">
        <f>IFERROR(__xludf.DUMMYFUNCTION("""COMPUTED_VALUE"""),5.4686049E7)</f>
        <v>54686049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IFERROR(__xludf.DUMMYFUNCTION("""COMPUTED_VALUE"""),273.8)</f>
        <v>273.8</v>
      </c>
      <c r="C28" s="2">
        <f>IFERROR(__xludf.DUMMYFUNCTION("""COMPUTED_VALUE"""),273.98)</f>
        <v>273.98</v>
      </c>
      <c r="D28" s="2">
        <f>IFERROR(__xludf.DUMMYFUNCTION("""COMPUTED_VALUE"""),262.8)</f>
        <v>262.8</v>
      </c>
      <c r="E28" s="2">
        <f>IFERROR(__xludf.DUMMYFUNCTION("""COMPUTED_VALUE"""),263.62)</f>
        <v>263.62</v>
      </c>
      <c r="F28" s="2">
        <f>IFERROR(__xludf.DUMMYFUNCTION("""COMPUTED_VALUE"""),4.2375102E7)</f>
        <v>42375102</v>
      </c>
    </row>
    <row r="29">
      <c r="A29" s="3">
        <f>IFERROR(__xludf.DUMMYFUNCTION("""COMPUTED_VALUE"""),44967.66666666667)</f>
        <v>44967.66667</v>
      </c>
      <c r="B29" s="2">
        <f>IFERROR(__xludf.DUMMYFUNCTION("""COMPUTED_VALUE"""),261.53)</f>
        <v>261.53</v>
      </c>
      <c r="C29" s="2">
        <f>IFERROR(__xludf.DUMMYFUNCTION("""COMPUTED_VALUE"""),264.09)</f>
        <v>264.09</v>
      </c>
      <c r="D29" s="2">
        <f>IFERROR(__xludf.DUMMYFUNCTION("""COMPUTED_VALUE"""),260.66)</f>
        <v>260.66</v>
      </c>
      <c r="E29" s="2">
        <f>IFERROR(__xludf.DUMMYFUNCTION("""COMPUTED_VALUE"""),263.1)</f>
        <v>263.1</v>
      </c>
      <c r="F29" s="2">
        <f>IFERROR(__xludf.DUMMYFUNCTION("""COMPUTED_VALUE"""),2.5818489E7)</f>
        <v>25818489</v>
      </c>
    </row>
    <row r="30">
      <c r="A30" s="3">
        <f>IFERROR(__xludf.DUMMYFUNCTION("""COMPUTED_VALUE"""),44970.66666666667)</f>
        <v>44970.66667</v>
      </c>
      <c r="B30" s="2">
        <f>IFERROR(__xludf.DUMMYFUNCTION("""COMPUTED_VALUE"""),267.64)</f>
        <v>267.64</v>
      </c>
      <c r="C30" s="2">
        <f>IFERROR(__xludf.DUMMYFUNCTION("""COMPUTED_VALUE"""),274.6)</f>
        <v>274.6</v>
      </c>
      <c r="D30" s="2">
        <f>IFERROR(__xludf.DUMMYFUNCTION("""COMPUTED_VALUE"""),267.15)</f>
        <v>267.15</v>
      </c>
      <c r="E30" s="2">
        <f>IFERROR(__xludf.DUMMYFUNCTION("""COMPUTED_VALUE"""),271.32)</f>
        <v>271.32</v>
      </c>
      <c r="F30" s="2">
        <f>IFERROR(__xludf.DUMMYFUNCTION("""COMPUTED_VALUE"""),4.4630921E7)</f>
        <v>44630921</v>
      </c>
    </row>
    <row r="31">
      <c r="A31" s="3">
        <f>IFERROR(__xludf.DUMMYFUNCTION("""COMPUTED_VALUE"""),44971.66666666667)</f>
        <v>44971.66667</v>
      </c>
      <c r="B31" s="2">
        <f>IFERROR(__xludf.DUMMYFUNCTION("""COMPUTED_VALUE"""),272.67)</f>
        <v>272.67</v>
      </c>
      <c r="C31" s="2">
        <f>IFERROR(__xludf.DUMMYFUNCTION("""COMPUTED_VALUE"""),274.97)</f>
        <v>274.97</v>
      </c>
      <c r="D31" s="2">
        <f>IFERROR(__xludf.DUMMYFUNCTION("""COMPUTED_VALUE"""),269.28)</f>
        <v>269.28</v>
      </c>
      <c r="E31" s="2">
        <f>IFERROR(__xludf.DUMMYFUNCTION("""COMPUTED_VALUE"""),272.17)</f>
        <v>272.17</v>
      </c>
      <c r="F31" s="2">
        <f>IFERROR(__xludf.DUMMYFUNCTION("""COMPUTED_VALUE"""),3.7047924E7)</f>
        <v>37047924</v>
      </c>
    </row>
    <row r="32">
      <c r="A32" s="3">
        <f>IFERROR(__xludf.DUMMYFUNCTION("""COMPUTED_VALUE"""),44972.66666666667)</f>
        <v>44972.66667</v>
      </c>
      <c r="B32" s="2">
        <f>IFERROR(__xludf.DUMMYFUNCTION("""COMPUTED_VALUE"""),268.32)</f>
        <v>268.32</v>
      </c>
      <c r="C32" s="2">
        <f>IFERROR(__xludf.DUMMYFUNCTION("""COMPUTED_VALUE"""),270.73)</f>
        <v>270.73</v>
      </c>
      <c r="D32" s="2">
        <f>IFERROR(__xludf.DUMMYFUNCTION("""COMPUTED_VALUE"""),266.18)</f>
        <v>266.18</v>
      </c>
      <c r="E32" s="2">
        <f>IFERROR(__xludf.DUMMYFUNCTION("""COMPUTED_VALUE"""),269.32)</f>
        <v>269.32</v>
      </c>
      <c r="F32" s="2">
        <f>IFERROR(__xludf.DUMMYFUNCTION("""COMPUTED_VALUE"""),2.8962163E7)</f>
        <v>28962163</v>
      </c>
    </row>
    <row r="33">
      <c r="A33" s="3">
        <f>IFERROR(__xludf.DUMMYFUNCTION("""COMPUTED_VALUE"""),44973.66666666667)</f>
        <v>44973.66667</v>
      </c>
      <c r="B33" s="2">
        <f>IFERROR(__xludf.DUMMYFUNCTION("""COMPUTED_VALUE"""),264.02)</f>
        <v>264.02</v>
      </c>
      <c r="C33" s="2">
        <f>IFERROR(__xludf.DUMMYFUNCTION("""COMPUTED_VALUE"""),266.74)</f>
        <v>266.74</v>
      </c>
      <c r="D33" s="2">
        <f>IFERROR(__xludf.DUMMYFUNCTION("""COMPUTED_VALUE"""),261.9)</f>
        <v>261.9</v>
      </c>
      <c r="E33" s="2">
        <f>IFERROR(__xludf.DUMMYFUNCTION("""COMPUTED_VALUE"""),262.15)</f>
        <v>262.15</v>
      </c>
      <c r="F33" s="2">
        <f>IFERROR(__xludf.DUMMYFUNCTION("""COMPUTED_VALUE"""),2.9603616E7)</f>
        <v>29603616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IFERROR(__xludf.DUMMYFUNCTION("""COMPUTED_VALUE"""),259.39)</f>
        <v>259.39</v>
      </c>
      <c r="C34" s="2">
        <f>IFERROR(__xludf.DUMMYFUNCTION("""COMPUTED_VALUE"""),260.09)</f>
        <v>260.09</v>
      </c>
      <c r="D34" s="2">
        <f>IFERROR(__xludf.DUMMYFUNCTION("""COMPUTED_VALUE"""),256.0)</f>
        <v>256</v>
      </c>
      <c r="E34" s="2">
        <f>IFERROR(__xludf.DUMMYFUNCTION("""COMPUTED_VALUE"""),258.06)</f>
        <v>258.06</v>
      </c>
      <c r="F34" s="2">
        <f>IFERROR(__xludf.DUMMYFUNCTION("""COMPUTED_VALUE"""),3.0000055E7)</f>
        <v>30000055</v>
      </c>
    </row>
    <row r="35">
      <c r="A35" s="3">
        <f>IFERROR(__xludf.DUMMYFUNCTION("""COMPUTED_VALUE"""),44978.66666666667)</f>
        <v>44978.66667</v>
      </c>
      <c r="B35" s="2">
        <f>IFERROR(__xludf.DUMMYFUNCTION("""COMPUTED_VALUE"""),254.48)</f>
        <v>254.48</v>
      </c>
      <c r="C35" s="2">
        <f>IFERROR(__xludf.DUMMYFUNCTION("""COMPUTED_VALUE"""),255.49)</f>
        <v>255.49</v>
      </c>
      <c r="D35" s="2">
        <f>IFERROR(__xludf.DUMMYFUNCTION("""COMPUTED_VALUE"""),251.59)</f>
        <v>251.59</v>
      </c>
      <c r="E35" s="2">
        <f>IFERROR(__xludf.DUMMYFUNCTION("""COMPUTED_VALUE"""),252.67)</f>
        <v>252.67</v>
      </c>
      <c r="F35" s="2">
        <f>IFERROR(__xludf.DUMMYFUNCTION("""COMPUTED_VALUE"""),2.8397444E7)</f>
        <v>28397444</v>
      </c>
    </row>
    <row r="36">
      <c r="A36" s="3">
        <f>IFERROR(__xludf.DUMMYFUNCTION("""COMPUTED_VALUE"""),44979.66666666667)</f>
        <v>44979.66667</v>
      </c>
      <c r="B36" s="2">
        <f>IFERROR(__xludf.DUMMYFUNCTION("""COMPUTED_VALUE"""),254.09)</f>
        <v>254.09</v>
      </c>
      <c r="C36" s="2">
        <f>IFERROR(__xludf.DUMMYFUNCTION("""COMPUTED_VALUE"""),254.34)</f>
        <v>254.34</v>
      </c>
      <c r="D36" s="2">
        <f>IFERROR(__xludf.DUMMYFUNCTION("""COMPUTED_VALUE"""),250.34)</f>
        <v>250.34</v>
      </c>
      <c r="E36" s="2">
        <f>IFERROR(__xludf.DUMMYFUNCTION("""COMPUTED_VALUE"""),251.51)</f>
        <v>251.51</v>
      </c>
      <c r="F36" s="2">
        <f>IFERROR(__xludf.DUMMYFUNCTION("""COMPUTED_VALUE"""),2.2491056E7)</f>
        <v>22491056</v>
      </c>
    </row>
    <row r="37">
      <c r="A37" s="3">
        <f>IFERROR(__xludf.DUMMYFUNCTION("""COMPUTED_VALUE"""),44980.66666666667)</f>
        <v>44980.66667</v>
      </c>
      <c r="B37" s="2">
        <f>IFERROR(__xludf.DUMMYFUNCTION("""COMPUTED_VALUE"""),255.56)</f>
        <v>255.56</v>
      </c>
      <c r="C37" s="2">
        <f>IFERROR(__xludf.DUMMYFUNCTION("""COMPUTED_VALUE"""),256.84)</f>
        <v>256.84</v>
      </c>
      <c r="D37" s="2">
        <f>IFERROR(__xludf.DUMMYFUNCTION("""COMPUTED_VALUE"""),250.48)</f>
        <v>250.48</v>
      </c>
      <c r="E37" s="2">
        <f>IFERROR(__xludf.DUMMYFUNCTION("""COMPUTED_VALUE"""),254.77)</f>
        <v>254.77</v>
      </c>
      <c r="F37" s="2">
        <f>IFERROR(__xludf.DUMMYFUNCTION("""COMPUTED_VALUE"""),2.9219095E7)</f>
        <v>29219095</v>
      </c>
    </row>
    <row r="38">
      <c r="A38" s="3">
        <f>IFERROR(__xludf.DUMMYFUNCTION("""COMPUTED_VALUE"""),44981.66666666667)</f>
        <v>44981.66667</v>
      </c>
      <c r="B38" s="2">
        <f>IFERROR(__xludf.DUMMYFUNCTION("""COMPUTED_VALUE"""),249.96)</f>
        <v>249.96</v>
      </c>
      <c r="C38" s="2">
        <f>IFERROR(__xludf.DUMMYFUNCTION("""COMPUTED_VALUE"""),251.0)</f>
        <v>251</v>
      </c>
      <c r="D38" s="2">
        <f>IFERROR(__xludf.DUMMYFUNCTION("""COMPUTED_VALUE"""),248.1)</f>
        <v>248.1</v>
      </c>
      <c r="E38" s="2">
        <f>IFERROR(__xludf.DUMMYFUNCTION("""COMPUTED_VALUE"""),249.22)</f>
        <v>249.22</v>
      </c>
      <c r="F38" s="2">
        <f>IFERROR(__xludf.DUMMYFUNCTION("""COMPUTED_VALUE"""),2.4990905E7)</f>
        <v>24990905</v>
      </c>
    </row>
    <row r="39">
      <c r="A39" s="3">
        <f>IFERROR(__xludf.DUMMYFUNCTION("""COMPUTED_VALUE"""),44984.66666666667)</f>
        <v>44984.66667</v>
      </c>
      <c r="B39" s="2">
        <f>IFERROR(__xludf.DUMMYFUNCTION("""COMPUTED_VALUE"""),252.46)</f>
        <v>252.46</v>
      </c>
      <c r="C39" s="2">
        <f>IFERROR(__xludf.DUMMYFUNCTION("""COMPUTED_VALUE"""),252.82)</f>
        <v>252.82</v>
      </c>
      <c r="D39" s="2">
        <f>IFERROR(__xludf.DUMMYFUNCTION("""COMPUTED_VALUE"""),249.39)</f>
        <v>249.39</v>
      </c>
      <c r="E39" s="2">
        <f>IFERROR(__xludf.DUMMYFUNCTION("""COMPUTED_VALUE"""),250.16)</f>
        <v>250.16</v>
      </c>
      <c r="F39" s="2">
        <f>IFERROR(__xludf.DUMMYFUNCTION("""COMPUTED_VALUE"""),2.1190042E7)</f>
        <v>21190042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IFERROR(__xludf.DUMMYFUNCTION("""COMPUTED_VALUE"""),249.07)</f>
        <v>249.07</v>
      </c>
      <c r="C40" s="2">
        <f>IFERROR(__xludf.DUMMYFUNCTION("""COMPUTED_VALUE"""),251.49)</f>
        <v>251.49</v>
      </c>
      <c r="D40" s="2">
        <f>IFERROR(__xludf.DUMMYFUNCTION("""COMPUTED_VALUE"""),248.73)</f>
        <v>248.73</v>
      </c>
      <c r="E40" s="2">
        <f>IFERROR(__xludf.DUMMYFUNCTION("""COMPUTED_VALUE"""),249.42)</f>
        <v>249.42</v>
      </c>
      <c r="F40" s="2">
        <f>IFERROR(__xludf.DUMMYFUNCTION("""COMPUTED_VALUE"""),2.249095E7)</f>
        <v>22490950</v>
      </c>
    </row>
    <row r="41">
      <c r="A41" s="3">
        <f>IFERROR(__xludf.DUMMYFUNCTION("""COMPUTED_VALUE"""),44986.66666666667)</f>
        <v>44986.66667</v>
      </c>
      <c r="B41" s="2">
        <f>IFERROR(__xludf.DUMMYFUNCTION("""COMPUTED_VALUE"""),250.76)</f>
        <v>250.76</v>
      </c>
      <c r="C41" s="2">
        <f>IFERROR(__xludf.DUMMYFUNCTION("""COMPUTED_VALUE"""),250.93)</f>
        <v>250.93</v>
      </c>
      <c r="D41" s="2">
        <f>IFERROR(__xludf.DUMMYFUNCTION("""COMPUTED_VALUE"""),245.79)</f>
        <v>245.79</v>
      </c>
      <c r="E41" s="2">
        <f>IFERROR(__xludf.DUMMYFUNCTION("""COMPUTED_VALUE"""),246.27)</f>
        <v>246.27</v>
      </c>
      <c r="F41" s="2">
        <f>IFERROR(__xludf.DUMMYFUNCTION("""COMPUTED_VALUE"""),2.7565259E7)</f>
        <v>27565259</v>
      </c>
    </row>
    <row r="42">
      <c r="A42" s="3">
        <f>IFERROR(__xludf.DUMMYFUNCTION("""COMPUTED_VALUE"""),44987.66666666667)</f>
        <v>44987.66667</v>
      </c>
      <c r="B42" s="2">
        <f>IFERROR(__xludf.DUMMYFUNCTION("""COMPUTED_VALUE"""),246.55)</f>
        <v>246.55</v>
      </c>
      <c r="C42" s="2">
        <f>IFERROR(__xludf.DUMMYFUNCTION("""COMPUTED_VALUE"""),251.4)</f>
        <v>251.4</v>
      </c>
      <c r="D42" s="2">
        <f>IFERROR(__xludf.DUMMYFUNCTION("""COMPUTED_VALUE"""),245.61)</f>
        <v>245.61</v>
      </c>
      <c r="E42" s="2">
        <f>IFERROR(__xludf.DUMMYFUNCTION("""COMPUTED_VALUE"""),251.11)</f>
        <v>251.11</v>
      </c>
      <c r="F42" s="2">
        <f>IFERROR(__xludf.DUMMYFUNCTION("""COMPUTED_VALUE"""),2.4833646E7)</f>
        <v>24833646</v>
      </c>
    </row>
    <row r="43">
      <c r="A43" s="3">
        <f>IFERROR(__xludf.DUMMYFUNCTION("""COMPUTED_VALUE"""),44988.66666666667)</f>
        <v>44988.66667</v>
      </c>
      <c r="B43" s="2">
        <f>IFERROR(__xludf.DUMMYFUNCTION("""COMPUTED_VALUE"""),252.19)</f>
        <v>252.19</v>
      </c>
      <c r="C43" s="2">
        <f>IFERROR(__xludf.DUMMYFUNCTION("""COMPUTED_VALUE"""),255.62)</f>
        <v>255.62</v>
      </c>
      <c r="D43" s="2">
        <f>IFERROR(__xludf.DUMMYFUNCTION("""COMPUTED_VALUE"""),251.39)</f>
        <v>251.39</v>
      </c>
      <c r="E43" s="2">
        <f>IFERROR(__xludf.DUMMYFUNCTION("""COMPUTED_VALUE"""),255.29)</f>
        <v>255.29</v>
      </c>
      <c r="F43" s="2">
        <f>IFERROR(__xludf.DUMMYFUNCTION("""COMPUTED_VALUE"""),3.0760136E7)</f>
        <v>30760136</v>
      </c>
    </row>
    <row r="44">
      <c r="A44" s="3">
        <f>IFERROR(__xludf.DUMMYFUNCTION("""COMPUTED_VALUE"""),44991.66666666667)</f>
        <v>44991.66667</v>
      </c>
      <c r="B44" s="2">
        <f>IFERROR(__xludf.DUMMYFUNCTION("""COMPUTED_VALUE"""),256.43)</f>
        <v>256.43</v>
      </c>
      <c r="C44" s="2">
        <f>IFERROR(__xludf.DUMMYFUNCTION("""COMPUTED_VALUE"""),260.12)</f>
        <v>260.12</v>
      </c>
      <c r="D44" s="2">
        <f>IFERROR(__xludf.DUMMYFUNCTION("""COMPUTED_VALUE"""),255.98)</f>
        <v>255.98</v>
      </c>
      <c r="E44" s="2">
        <f>IFERROR(__xludf.DUMMYFUNCTION("""COMPUTED_VALUE"""),256.87)</f>
        <v>256.87</v>
      </c>
      <c r="F44" s="2">
        <f>IFERROR(__xludf.DUMMYFUNCTION("""COMPUTED_VALUE"""),2.4109849E7)</f>
        <v>24109849</v>
      </c>
    </row>
    <row r="45">
      <c r="A45" s="3">
        <f>IFERROR(__xludf.DUMMYFUNCTION("""COMPUTED_VALUE"""),44992.66666666667)</f>
        <v>44992.66667</v>
      </c>
      <c r="B45" s="2">
        <f>IFERROR(__xludf.DUMMYFUNCTION("""COMPUTED_VALUE"""),256.3)</f>
        <v>256.3</v>
      </c>
      <c r="C45" s="2">
        <f>IFERROR(__xludf.DUMMYFUNCTION("""COMPUTED_VALUE"""),257.69)</f>
        <v>257.69</v>
      </c>
      <c r="D45" s="2">
        <f>IFERROR(__xludf.DUMMYFUNCTION("""COMPUTED_VALUE"""),253.39)</f>
        <v>253.39</v>
      </c>
      <c r="E45" s="2">
        <f>IFERROR(__xludf.DUMMYFUNCTION("""COMPUTED_VALUE"""),254.15)</f>
        <v>254.15</v>
      </c>
      <c r="F45" s="2">
        <f>IFERROR(__xludf.DUMMYFUNCTION("""COMPUTED_VALUE"""),2.1473179E7)</f>
        <v>21473179</v>
      </c>
    </row>
    <row r="46">
      <c r="A46" s="3">
        <f>IFERROR(__xludf.DUMMYFUNCTION("""COMPUTED_VALUE"""),44993.66666666667)</f>
        <v>44993.66667</v>
      </c>
      <c r="B46" s="2">
        <f>IFERROR(__xludf.DUMMYFUNCTION("""COMPUTED_VALUE"""),254.04)</f>
        <v>254.04</v>
      </c>
      <c r="C46" s="2">
        <f>IFERROR(__xludf.DUMMYFUNCTION("""COMPUTED_VALUE"""),254.54)</f>
        <v>254.54</v>
      </c>
      <c r="D46" s="2">
        <f>IFERROR(__xludf.DUMMYFUNCTION("""COMPUTED_VALUE"""),250.81)</f>
        <v>250.81</v>
      </c>
      <c r="E46" s="2">
        <f>IFERROR(__xludf.DUMMYFUNCTION("""COMPUTED_VALUE"""),253.7)</f>
        <v>253.7</v>
      </c>
      <c r="F46" s="2">
        <f>IFERROR(__xludf.DUMMYFUNCTION("""COMPUTED_VALUE"""),1.7340217E7)</f>
        <v>17340217</v>
      </c>
    </row>
    <row r="47">
      <c r="A47" s="3">
        <f>IFERROR(__xludf.DUMMYFUNCTION("""COMPUTED_VALUE"""),44994.66666666667)</f>
        <v>44994.66667</v>
      </c>
      <c r="B47" s="2">
        <f>IFERROR(__xludf.DUMMYFUNCTION("""COMPUTED_VALUE"""),255.82)</f>
        <v>255.82</v>
      </c>
      <c r="C47" s="2">
        <f>IFERROR(__xludf.DUMMYFUNCTION("""COMPUTED_VALUE"""),259.56)</f>
        <v>259.56</v>
      </c>
      <c r="D47" s="2">
        <f>IFERROR(__xludf.DUMMYFUNCTION("""COMPUTED_VALUE"""),251.58)</f>
        <v>251.58</v>
      </c>
      <c r="E47" s="2">
        <f>IFERROR(__xludf.DUMMYFUNCTION("""COMPUTED_VALUE"""),252.32)</f>
        <v>252.32</v>
      </c>
      <c r="F47" s="2">
        <f>IFERROR(__xludf.DUMMYFUNCTION("""COMPUTED_VALUE"""),2.6653387E7)</f>
        <v>26653387</v>
      </c>
    </row>
    <row r="48">
      <c r="A48" s="3">
        <f>IFERROR(__xludf.DUMMYFUNCTION("""COMPUTED_VALUE"""),44995.66666666667)</f>
        <v>44995.66667</v>
      </c>
      <c r="B48" s="2">
        <f>IFERROR(__xludf.DUMMYFUNCTION("""COMPUTED_VALUE"""),251.08)</f>
        <v>251.08</v>
      </c>
      <c r="C48" s="2">
        <f>IFERROR(__xludf.DUMMYFUNCTION("""COMPUTED_VALUE"""),252.79)</f>
        <v>252.79</v>
      </c>
      <c r="D48" s="2">
        <f>IFERROR(__xludf.DUMMYFUNCTION("""COMPUTED_VALUE"""),247.6)</f>
        <v>247.6</v>
      </c>
      <c r="E48" s="2">
        <f>IFERROR(__xludf.DUMMYFUNCTION("""COMPUTED_VALUE"""),248.59)</f>
        <v>248.59</v>
      </c>
      <c r="F48" s="2">
        <f>IFERROR(__xludf.DUMMYFUNCTION("""COMPUTED_VALUE"""),2.833393E7)</f>
        <v>28333930</v>
      </c>
    </row>
    <row r="49">
      <c r="A49" s="3">
        <f>IFERROR(__xludf.DUMMYFUNCTION("""COMPUTED_VALUE"""),44998.66666666667)</f>
        <v>44998.66667</v>
      </c>
      <c r="B49" s="2">
        <f>IFERROR(__xludf.DUMMYFUNCTION("""COMPUTED_VALUE"""),247.4)</f>
        <v>247.4</v>
      </c>
      <c r="C49" s="2">
        <f>IFERROR(__xludf.DUMMYFUNCTION("""COMPUTED_VALUE"""),257.91)</f>
        <v>257.91</v>
      </c>
      <c r="D49" s="2">
        <f>IFERROR(__xludf.DUMMYFUNCTION("""COMPUTED_VALUE"""),245.73)</f>
        <v>245.73</v>
      </c>
      <c r="E49" s="2">
        <f>IFERROR(__xludf.DUMMYFUNCTION("""COMPUTED_VALUE"""),253.92)</f>
        <v>253.92</v>
      </c>
      <c r="F49" s="2">
        <f>IFERROR(__xludf.DUMMYFUNCTION("""COMPUTED_VALUE"""),3.3339721E7)</f>
        <v>33339721</v>
      </c>
    </row>
    <row r="50">
      <c r="A50" s="3">
        <f>IFERROR(__xludf.DUMMYFUNCTION("""COMPUTED_VALUE"""),44999.66666666667)</f>
        <v>44999.66667</v>
      </c>
      <c r="B50" s="2">
        <f>IFERROR(__xludf.DUMMYFUNCTION("""COMPUTED_VALUE"""),256.75)</f>
        <v>256.75</v>
      </c>
      <c r="C50" s="2">
        <f>IFERROR(__xludf.DUMMYFUNCTION("""COMPUTED_VALUE"""),261.07)</f>
        <v>261.07</v>
      </c>
      <c r="D50" s="2">
        <f>IFERROR(__xludf.DUMMYFUNCTION("""COMPUTED_VALUE"""),255.86)</f>
        <v>255.86</v>
      </c>
      <c r="E50" s="2">
        <f>IFERROR(__xludf.DUMMYFUNCTION("""COMPUTED_VALUE"""),260.79)</f>
        <v>260.79</v>
      </c>
      <c r="F50" s="2">
        <f>IFERROR(__xludf.DUMMYFUNCTION("""COMPUTED_VALUE"""),3.3620293E7)</f>
        <v>33620293</v>
      </c>
    </row>
    <row r="51">
      <c r="A51" s="3">
        <f>IFERROR(__xludf.DUMMYFUNCTION("""COMPUTED_VALUE"""),45000.66666666667)</f>
        <v>45000.66667</v>
      </c>
      <c r="B51" s="2">
        <f>IFERROR(__xludf.DUMMYFUNCTION("""COMPUTED_VALUE"""),259.98)</f>
        <v>259.98</v>
      </c>
      <c r="C51" s="2">
        <f>IFERROR(__xludf.DUMMYFUNCTION("""COMPUTED_VALUE"""),266.48)</f>
        <v>266.48</v>
      </c>
      <c r="D51" s="2">
        <f>IFERROR(__xludf.DUMMYFUNCTION("""COMPUTED_VALUE"""),259.21)</f>
        <v>259.21</v>
      </c>
      <c r="E51" s="2">
        <f>IFERROR(__xludf.DUMMYFUNCTION("""COMPUTED_VALUE"""),265.44)</f>
        <v>265.44</v>
      </c>
      <c r="F51" s="2">
        <f>IFERROR(__xludf.DUMMYFUNCTION("""COMPUTED_VALUE"""),4.6028047E7)</f>
        <v>46028047</v>
      </c>
    </row>
    <row r="52">
      <c r="A52" s="3">
        <f>IFERROR(__xludf.DUMMYFUNCTION("""COMPUTED_VALUE"""),45001.66666666667)</f>
        <v>45001.66667</v>
      </c>
      <c r="B52" s="2">
        <f>IFERROR(__xludf.DUMMYFUNCTION("""COMPUTED_VALUE"""),265.21)</f>
        <v>265.21</v>
      </c>
      <c r="C52" s="2">
        <f>IFERROR(__xludf.DUMMYFUNCTION("""COMPUTED_VALUE"""),276.56)</f>
        <v>276.56</v>
      </c>
      <c r="D52" s="2">
        <f>IFERROR(__xludf.DUMMYFUNCTION("""COMPUTED_VALUE"""),263.28)</f>
        <v>263.28</v>
      </c>
      <c r="E52" s="2">
        <f>IFERROR(__xludf.DUMMYFUNCTION("""COMPUTED_VALUE"""),276.2)</f>
        <v>276.2</v>
      </c>
      <c r="F52" s="2">
        <f>IFERROR(__xludf.DUMMYFUNCTION("""COMPUTED_VALUE"""),5.483214E7)</f>
        <v>54832140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IFERROR(__xludf.DUMMYFUNCTION("""COMPUTED_VALUE"""),278.26)</f>
        <v>278.26</v>
      </c>
      <c r="C53" s="2">
        <f>IFERROR(__xludf.DUMMYFUNCTION("""COMPUTED_VALUE"""),283.33)</f>
        <v>283.33</v>
      </c>
      <c r="D53" s="2">
        <f>IFERROR(__xludf.DUMMYFUNCTION("""COMPUTED_VALUE"""),276.32)</f>
        <v>276.32</v>
      </c>
      <c r="E53" s="2">
        <f>IFERROR(__xludf.DUMMYFUNCTION("""COMPUTED_VALUE"""),279.43)</f>
        <v>279.43</v>
      </c>
      <c r="F53" s="2">
        <f>IFERROR(__xludf.DUMMYFUNCTION("""COMPUTED_VALUE"""),6.9527371E7)</f>
        <v>69527371</v>
      </c>
    </row>
    <row r="54">
      <c r="A54" s="3">
        <f>IFERROR(__xludf.DUMMYFUNCTION("""COMPUTED_VALUE"""),45005.66666666667)</f>
        <v>45005.66667</v>
      </c>
      <c r="B54" s="2">
        <f>IFERROR(__xludf.DUMMYFUNCTION("""COMPUTED_VALUE"""),276.98)</f>
        <v>276.98</v>
      </c>
      <c r="C54" s="2">
        <f>IFERROR(__xludf.DUMMYFUNCTION("""COMPUTED_VALUE"""),277.48)</f>
        <v>277.48</v>
      </c>
      <c r="D54" s="2">
        <f>IFERROR(__xludf.DUMMYFUNCTION("""COMPUTED_VALUE"""),269.85)</f>
        <v>269.85</v>
      </c>
      <c r="E54" s="2">
        <f>IFERROR(__xludf.DUMMYFUNCTION("""COMPUTED_VALUE"""),272.23)</f>
        <v>272.23</v>
      </c>
      <c r="F54" s="2">
        <f>IFERROR(__xludf.DUMMYFUNCTION("""COMPUTED_VALUE"""),4.3466649E7)</f>
        <v>43466649</v>
      </c>
    </row>
    <row r="55">
      <c r="A55" s="3">
        <f>IFERROR(__xludf.DUMMYFUNCTION("""COMPUTED_VALUE"""),45006.66666666667)</f>
        <v>45006.66667</v>
      </c>
      <c r="B55" s="2">
        <f>IFERROR(__xludf.DUMMYFUNCTION("""COMPUTED_VALUE"""),274.88)</f>
        <v>274.88</v>
      </c>
      <c r="C55" s="2">
        <f>IFERROR(__xludf.DUMMYFUNCTION("""COMPUTED_VALUE"""),275.0)</f>
        <v>275</v>
      </c>
      <c r="D55" s="2">
        <f>IFERROR(__xludf.DUMMYFUNCTION("""COMPUTED_VALUE"""),269.52)</f>
        <v>269.52</v>
      </c>
      <c r="E55" s="2">
        <f>IFERROR(__xludf.DUMMYFUNCTION("""COMPUTED_VALUE"""),273.78)</f>
        <v>273.78</v>
      </c>
      <c r="F55" s="2">
        <f>IFERROR(__xludf.DUMMYFUNCTION("""COMPUTED_VALUE"""),3.4558704E7)</f>
        <v>34558704</v>
      </c>
    </row>
    <row r="56">
      <c r="A56" s="3">
        <f>IFERROR(__xludf.DUMMYFUNCTION("""COMPUTED_VALUE"""),45007.66666666667)</f>
        <v>45007.66667</v>
      </c>
      <c r="B56" s="2">
        <f>IFERROR(__xludf.DUMMYFUNCTION("""COMPUTED_VALUE"""),273.4)</f>
        <v>273.4</v>
      </c>
      <c r="C56" s="2">
        <f>IFERROR(__xludf.DUMMYFUNCTION("""COMPUTED_VALUE"""),281.04)</f>
        <v>281.04</v>
      </c>
      <c r="D56" s="2">
        <f>IFERROR(__xludf.DUMMYFUNCTION("""COMPUTED_VALUE"""),272.18)</f>
        <v>272.18</v>
      </c>
      <c r="E56" s="2">
        <f>IFERROR(__xludf.DUMMYFUNCTION("""COMPUTED_VALUE"""),272.29)</f>
        <v>272.29</v>
      </c>
      <c r="F56" s="2">
        <f>IFERROR(__xludf.DUMMYFUNCTION("""COMPUTED_VALUE"""),3.487333E7)</f>
        <v>34873330</v>
      </c>
    </row>
    <row r="57">
      <c r="A57" s="3">
        <f>IFERROR(__xludf.DUMMYFUNCTION("""COMPUTED_VALUE"""),45008.66666666667)</f>
        <v>45008.66667</v>
      </c>
      <c r="B57" s="2">
        <f>IFERROR(__xludf.DUMMYFUNCTION("""COMPUTED_VALUE"""),277.94)</f>
        <v>277.94</v>
      </c>
      <c r="C57" s="2">
        <f>IFERROR(__xludf.DUMMYFUNCTION("""COMPUTED_VALUE"""),281.06)</f>
        <v>281.06</v>
      </c>
      <c r="D57" s="2">
        <f>IFERROR(__xludf.DUMMYFUNCTION("""COMPUTED_VALUE"""),275.2)</f>
        <v>275.2</v>
      </c>
      <c r="E57" s="2">
        <f>IFERROR(__xludf.DUMMYFUNCTION("""COMPUTED_VALUE"""),277.66)</f>
        <v>277.66</v>
      </c>
      <c r="F57" s="2">
        <f>IFERROR(__xludf.DUMMYFUNCTION("""COMPUTED_VALUE"""),3.6610879E7)</f>
        <v>36610879</v>
      </c>
    </row>
    <row r="58">
      <c r="A58" s="3">
        <f>IFERROR(__xludf.DUMMYFUNCTION("""COMPUTED_VALUE"""),45009.66666666667)</f>
        <v>45009.66667</v>
      </c>
      <c r="B58" s="2">
        <f>IFERROR(__xludf.DUMMYFUNCTION("""COMPUTED_VALUE"""),277.24)</f>
        <v>277.24</v>
      </c>
      <c r="C58" s="2">
        <f>IFERROR(__xludf.DUMMYFUNCTION("""COMPUTED_VALUE"""),280.63)</f>
        <v>280.63</v>
      </c>
      <c r="D58" s="2">
        <f>IFERROR(__xludf.DUMMYFUNCTION("""COMPUTED_VALUE"""),275.28)</f>
        <v>275.28</v>
      </c>
      <c r="E58" s="2">
        <f>IFERROR(__xludf.DUMMYFUNCTION("""COMPUTED_VALUE"""),280.57)</f>
        <v>280.57</v>
      </c>
      <c r="F58" s="2">
        <f>IFERROR(__xludf.DUMMYFUNCTION("""COMPUTED_VALUE"""),2.8199962E7)</f>
        <v>28199962</v>
      </c>
    </row>
    <row r="59">
      <c r="A59" s="3">
        <f>IFERROR(__xludf.DUMMYFUNCTION("""COMPUTED_VALUE"""),45012.66666666667)</f>
        <v>45012.66667</v>
      </c>
      <c r="B59" s="2">
        <f>IFERROR(__xludf.DUMMYFUNCTION("""COMPUTED_VALUE"""),280.5)</f>
        <v>280.5</v>
      </c>
      <c r="C59" s="2">
        <f>IFERROR(__xludf.DUMMYFUNCTION("""COMPUTED_VALUE"""),281.46)</f>
        <v>281.46</v>
      </c>
      <c r="D59" s="2">
        <f>IFERROR(__xludf.DUMMYFUNCTION("""COMPUTED_VALUE"""),275.52)</f>
        <v>275.52</v>
      </c>
      <c r="E59" s="2">
        <f>IFERROR(__xludf.DUMMYFUNCTION("""COMPUTED_VALUE"""),276.38)</f>
        <v>276.38</v>
      </c>
      <c r="F59" s="2">
        <f>IFERROR(__xludf.DUMMYFUNCTION("""COMPUTED_VALUE"""),2.6840212E7)</f>
        <v>26840212</v>
      </c>
    </row>
    <row r="60">
      <c r="A60" s="3">
        <f>IFERROR(__xludf.DUMMYFUNCTION("""COMPUTED_VALUE"""),45013.66666666667)</f>
        <v>45013.66667</v>
      </c>
      <c r="B60" s="2">
        <f>IFERROR(__xludf.DUMMYFUNCTION("""COMPUTED_VALUE"""),275.79)</f>
        <v>275.79</v>
      </c>
      <c r="C60" s="2">
        <f>IFERROR(__xludf.DUMMYFUNCTION("""COMPUTED_VALUE"""),276.14)</f>
        <v>276.14</v>
      </c>
      <c r="D60" s="2">
        <f>IFERROR(__xludf.DUMMYFUNCTION("""COMPUTED_VALUE"""),272.05)</f>
        <v>272.05</v>
      </c>
      <c r="E60" s="2">
        <f>IFERROR(__xludf.DUMMYFUNCTION("""COMPUTED_VALUE"""),275.23)</f>
        <v>275.23</v>
      </c>
      <c r="F60" s="2">
        <f>IFERROR(__xludf.DUMMYFUNCTION("""COMPUTED_VALUE"""),2.1878647E7)</f>
        <v>21878647</v>
      </c>
    </row>
    <row r="61">
      <c r="A61" s="3">
        <f>IFERROR(__xludf.DUMMYFUNCTION("""COMPUTED_VALUE"""),45014.66666666667)</f>
        <v>45014.66667</v>
      </c>
      <c r="B61" s="2">
        <f>IFERROR(__xludf.DUMMYFUNCTION("""COMPUTED_VALUE"""),278.96)</f>
        <v>278.96</v>
      </c>
      <c r="C61" s="2">
        <f>IFERROR(__xludf.DUMMYFUNCTION("""COMPUTED_VALUE"""),281.14)</f>
        <v>281.14</v>
      </c>
      <c r="D61" s="2">
        <f>IFERROR(__xludf.DUMMYFUNCTION("""COMPUTED_VALUE"""),278.41)</f>
        <v>278.41</v>
      </c>
      <c r="E61" s="2">
        <f>IFERROR(__xludf.DUMMYFUNCTION("""COMPUTED_VALUE"""),280.51)</f>
        <v>280.51</v>
      </c>
      <c r="F61" s="2">
        <f>IFERROR(__xludf.DUMMYFUNCTION("""COMPUTED_VALUE"""),2.5087032E7)</f>
        <v>25087032</v>
      </c>
    </row>
    <row r="62">
      <c r="A62" s="3">
        <f>IFERROR(__xludf.DUMMYFUNCTION("""COMPUTED_VALUE"""),45015.66666666667)</f>
        <v>45015.66667</v>
      </c>
      <c r="B62" s="2">
        <f>IFERROR(__xludf.DUMMYFUNCTION("""COMPUTED_VALUE"""),284.23)</f>
        <v>284.23</v>
      </c>
      <c r="C62" s="2">
        <f>IFERROR(__xludf.DUMMYFUNCTION("""COMPUTED_VALUE"""),284.46)</f>
        <v>284.46</v>
      </c>
      <c r="D62" s="2">
        <f>IFERROR(__xludf.DUMMYFUNCTION("""COMPUTED_VALUE"""),281.48)</f>
        <v>281.48</v>
      </c>
      <c r="E62" s="2">
        <f>IFERROR(__xludf.DUMMYFUNCTION("""COMPUTED_VALUE"""),284.05)</f>
        <v>284.05</v>
      </c>
      <c r="F62" s="2">
        <f>IFERROR(__xludf.DUMMYFUNCTION("""COMPUTED_VALUE"""),2.505341E7)</f>
        <v>25053410</v>
      </c>
    </row>
    <row r="63">
      <c r="A63" s="3">
        <f>IFERROR(__xludf.DUMMYFUNCTION("""COMPUTED_VALUE"""),45016.66666666667)</f>
        <v>45016.66667</v>
      </c>
      <c r="B63" s="2">
        <f>IFERROR(__xludf.DUMMYFUNCTION("""COMPUTED_VALUE"""),283.73)</f>
        <v>283.73</v>
      </c>
      <c r="C63" s="2">
        <f>IFERROR(__xludf.DUMMYFUNCTION("""COMPUTED_VALUE"""),289.27)</f>
        <v>289.27</v>
      </c>
      <c r="D63" s="2">
        <f>IFERROR(__xludf.DUMMYFUNCTION("""COMPUTED_VALUE"""),283.0)</f>
        <v>283</v>
      </c>
      <c r="E63" s="2">
        <f>IFERROR(__xludf.DUMMYFUNCTION("""COMPUTED_VALUE"""),288.3)</f>
        <v>288.3</v>
      </c>
      <c r="F63" s="2">
        <f>IFERROR(__xludf.DUMMYFUNCTION("""COMPUTED_VALUE"""),3.2765976E7)</f>
        <v>32765976</v>
      </c>
    </row>
    <row r="64">
      <c r="A64" s="3">
        <f>IFERROR(__xludf.DUMMYFUNCTION("""COMPUTED_VALUE"""),45019.66666666667)</f>
        <v>45019.66667</v>
      </c>
      <c r="B64" s="2">
        <f>IFERROR(__xludf.DUMMYFUNCTION("""COMPUTED_VALUE"""),286.52)</f>
        <v>286.52</v>
      </c>
      <c r="C64" s="2">
        <f>IFERROR(__xludf.DUMMYFUNCTION("""COMPUTED_VALUE"""),288.27)</f>
        <v>288.27</v>
      </c>
      <c r="D64" s="2">
        <f>IFERROR(__xludf.DUMMYFUNCTION("""COMPUTED_VALUE"""),283.95)</f>
        <v>283.95</v>
      </c>
      <c r="E64" s="2">
        <f>IFERROR(__xludf.DUMMYFUNCTION("""COMPUTED_VALUE"""),287.23)</f>
        <v>287.23</v>
      </c>
      <c r="F64" s="2">
        <f>IFERROR(__xludf.DUMMYFUNCTION("""COMPUTED_VALUE"""),2.4883342E7)</f>
        <v>24883342</v>
      </c>
    </row>
    <row r="65">
      <c r="A65" s="3">
        <f>IFERROR(__xludf.DUMMYFUNCTION("""COMPUTED_VALUE"""),45020.66666666667)</f>
        <v>45020.66667</v>
      </c>
      <c r="B65" s="2">
        <f>IFERROR(__xludf.DUMMYFUNCTION("""COMPUTED_VALUE"""),287.23)</f>
        <v>287.23</v>
      </c>
      <c r="C65" s="2">
        <f>IFERROR(__xludf.DUMMYFUNCTION("""COMPUTED_VALUE"""),290.45)</f>
        <v>290.45</v>
      </c>
      <c r="D65" s="2">
        <f>IFERROR(__xludf.DUMMYFUNCTION("""COMPUTED_VALUE"""),285.67)</f>
        <v>285.67</v>
      </c>
      <c r="E65" s="2">
        <f>IFERROR(__xludf.DUMMYFUNCTION("""COMPUTED_VALUE"""),287.18)</f>
        <v>287.18</v>
      </c>
      <c r="F65" s="2">
        <f>IFERROR(__xludf.DUMMYFUNCTION("""COMPUTED_VALUE"""),2.5824299E7)</f>
        <v>25824299</v>
      </c>
    </row>
    <row r="66">
      <c r="A66" s="3">
        <f>IFERROR(__xludf.DUMMYFUNCTION("""COMPUTED_VALUE"""),45021.66666666667)</f>
        <v>45021.66667</v>
      </c>
      <c r="B66" s="2">
        <f>IFERROR(__xludf.DUMMYFUNCTION("""COMPUTED_VALUE"""),285.85)</f>
        <v>285.85</v>
      </c>
      <c r="C66" s="2">
        <f>IFERROR(__xludf.DUMMYFUNCTION("""COMPUTED_VALUE"""),287.15)</f>
        <v>287.15</v>
      </c>
      <c r="D66" s="2">
        <f>IFERROR(__xludf.DUMMYFUNCTION("""COMPUTED_VALUE"""),282.92)</f>
        <v>282.92</v>
      </c>
      <c r="E66" s="2">
        <f>IFERROR(__xludf.DUMMYFUNCTION("""COMPUTED_VALUE"""),284.34)</f>
        <v>284.34</v>
      </c>
      <c r="F66" s="2">
        <f>IFERROR(__xludf.DUMMYFUNCTION("""COMPUTED_VALUE"""),2.206477E7)</f>
        <v>22064770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IFERROR(__xludf.DUMMYFUNCTION("""COMPUTED_VALUE"""),283.21)</f>
        <v>283.21</v>
      </c>
      <c r="C67" s="2">
        <f>IFERROR(__xludf.DUMMYFUNCTION("""COMPUTED_VALUE"""),292.08)</f>
        <v>292.08</v>
      </c>
      <c r="D67" s="2">
        <f>IFERROR(__xludf.DUMMYFUNCTION("""COMPUTED_VALUE"""),282.03)</f>
        <v>282.03</v>
      </c>
      <c r="E67" s="2">
        <f>IFERROR(__xludf.DUMMYFUNCTION("""COMPUTED_VALUE"""),291.6)</f>
        <v>291.6</v>
      </c>
      <c r="F67" s="2">
        <f>IFERROR(__xludf.DUMMYFUNCTION("""COMPUTED_VALUE"""),2.9770334E7)</f>
        <v>29770334</v>
      </c>
    </row>
    <row r="68">
      <c r="A68" s="3">
        <f>IFERROR(__xludf.DUMMYFUNCTION("""COMPUTED_VALUE"""),45026.66666666667)</f>
        <v>45026.66667</v>
      </c>
      <c r="B68" s="2">
        <f>IFERROR(__xludf.DUMMYFUNCTION("""COMPUTED_VALUE"""),289.21)</f>
        <v>289.21</v>
      </c>
      <c r="C68" s="2">
        <f>IFERROR(__xludf.DUMMYFUNCTION("""COMPUTED_VALUE"""),289.6)</f>
        <v>289.6</v>
      </c>
      <c r="D68" s="2">
        <f>IFERROR(__xludf.DUMMYFUNCTION("""COMPUTED_VALUE"""),284.71)</f>
        <v>284.71</v>
      </c>
      <c r="E68" s="2">
        <f>IFERROR(__xludf.DUMMYFUNCTION("""COMPUTED_VALUE"""),289.39)</f>
        <v>289.39</v>
      </c>
      <c r="F68" s="2">
        <f>IFERROR(__xludf.DUMMYFUNCTION("""COMPUTED_VALUE"""),2.3102994E7)</f>
        <v>23102994</v>
      </c>
    </row>
    <row r="69">
      <c r="A69" s="3">
        <f>IFERROR(__xludf.DUMMYFUNCTION("""COMPUTED_VALUE"""),45027.66666666667)</f>
        <v>45027.66667</v>
      </c>
      <c r="B69" s="2">
        <f>IFERROR(__xludf.DUMMYFUNCTION("""COMPUTED_VALUE"""),285.75)</f>
        <v>285.75</v>
      </c>
      <c r="C69" s="2">
        <f>IFERROR(__xludf.DUMMYFUNCTION("""COMPUTED_VALUE"""),285.98)</f>
        <v>285.98</v>
      </c>
      <c r="D69" s="2">
        <f>IFERROR(__xludf.DUMMYFUNCTION("""COMPUTED_VALUE"""),281.64)</f>
        <v>281.64</v>
      </c>
      <c r="E69" s="2">
        <f>IFERROR(__xludf.DUMMYFUNCTION("""COMPUTED_VALUE"""),282.83)</f>
        <v>282.83</v>
      </c>
      <c r="F69" s="2">
        <f>IFERROR(__xludf.DUMMYFUNCTION("""COMPUTED_VALUE"""),2.7276589E7)</f>
        <v>27276589</v>
      </c>
    </row>
    <row r="70">
      <c r="A70" s="3">
        <f>IFERROR(__xludf.DUMMYFUNCTION("""COMPUTED_VALUE"""),45028.66666666667)</f>
        <v>45028.66667</v>
      </c>
      <c r="B70" s="2">
        <f>IFERROR(__xludf.DUMMYFUNCTION("""COMPUTED_VALUE"""),284.79)</f>
        <v>284.79</v>
      </c>
      <c r="C70" s="2">
        <f>IFERROR(__xludf.DUMMYFUNCTION("""COMPUTED_VALUE"""),287.01)</f>
        <v>287.01</v>
      </c>
      <c r="D70" s="2">
        <f>IFERROR(__xludf.DUMMYFUNCTION("""COMPUTED_VALUE"""),281.96)</f>
        <v>281.96</v>
      </c>
      <c r="E70" s="2">
        <f>IFERROR(__xludf.DUMMYFUNCTION("""COMPUTED_VALUE"""),283.49)</f>
        <v>283.49</v>
      </c>
      <c r="F70" s="2">
        <f>IFERROR(__xludf.DUMMYFUNCTION("""COMPUTED_VALUE"""),2.7403432E7)</f>
        <v>27403432</v>
      </c>
    </row>
    <row r="71">
      <c r="A71" s="3">
        <f>IFERROR(__xludf.DUMMYFUNCTION("""COMPUTED_VALUE"""),45029.66666666667)</f>
        <v>45029.66667</v>
      </c>
      <c r="B71" s="2">
        <f>IFERROR(__xludf.DUMMYFUNCTION("""COMPUTED_VALUE"""),283.59)</f>
        <v>283.59</v>
      </c>
      <c r="C71" s="2">
        <f>IFERROR(__xludf.DUMMYFUNCTION("""COMPUTED_VALUE"""),289.9)</f>
        <v>289.9</v>
      </c>
      <c r="D71" s="2">
        <f>IFERROR(__xludf.DUMMYFUNCTION("""COMPUTED_VALUE"""),283.17)</f>
        <v>283.17</v>
      </c>
      <c r="E71" s="2">
        <f>IFERROR(__xludf.DUMMYFUNCTION("""COMPUTED_VALUE"""),289.84)</f>
        <v>289.84</v>
      </c>
      <c r="F71" s="2">
        <f>IFERROR(__xludf.DUMMYFUNCTION("""COMPUTED_VALUE"""),2.4222678E7)</f>
        <v>24222678</v>
      </c>
    </row>
    <row r="72">
      <c r="A72" s="3">
        <f>IFERROR(__xludf.DUMMYFUNCTION("""COMPUTED_VALUE"""),45030.66666666667)</f>
        <v>45030.66667</v>
      </c>
      <c r="B72" s="2">
        <f>IFERROR(__xludf.DUMMYFUNCTION("""COMPUTED_VALUE"""),287.0)</f>
        <v>287</v>
      </c>
      <c r="C72" s="2">
        <f>IFERROR(__xludf.DUMMYFUNCTION("""COMPUTED_VALUE"""),288.48)</f>
        <v>288.48</v>
      </c>
      <c r="D72" s="2">
        <f>IFERROR(__xludf.DUMMYFUNCTION("""COMPUTED_VALUE"""),283.69)</f>
        <v>283.69</v>
      </c>
      <c r="E72" s="2">
        <f>IFERROR(__xludf.DUMMYFUNCTION("""COMPUTED_VALUE"""),286.14)</f>
        <v>286.14</v>
      </c>
      <c r="F72" s="2">
        <f>IFERROR(__xludf.DUMMYFUNCTION("""COMPUTED_VALUE"""),2.0987917E7)</f>
        <v>20987917</v>
      </c>
    </row>
    <row r="73">
      <c r="A73" s="3">
        <f>IFERROR(__xludf.DUMMYFUNCTION("""COMPUTED_VALUE"""),45033.66666666667)</f>
        <v>45033.66667</v>
      </c>
      <c r="B73" s="2">
        <f>IFERROR(__xludf.DUMMYFUNCTION("""COMPUTED_VALUE"""),289.93)</f>
        <v>289.93</v>
      </c>
      <c r="C73" s="2">
        <f>IFERROR(__xludf.DUMMYFUNCTION("""COMPUTED_VALUE"""),291.6)</f>
        <v>291.6</v>
      </c>
      <c r="D73" s="2">
        <f>IFERROR(__xludf.DUMMYFUNCTION("""COMPUTED_VALUE"""),286.16)</f>
        <v>286.16</v>
      </c>
      <c r="E73" s="2">
        <f>IFERROR(__xludf.DUMMYFUNCTION("""COMPUTED_VALUE"""),288.8)</f>
        <v>288.8</v>
      </c>
      <c r="F73" s="2">
        <f>IFERROR(__xludf.DUMMYFUNCTION("""COMPUTED_VALUE"""),2.3836223E7)</f>
        <v>23836223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IFERROR(__xludf.DUMMYFUNCTION("""COMPUTED_VALUE"""),291.57)</f>
        <v>291.57</v>
      </c>
      <c r="C74" s="2">
        <f>IFERROR(__xludf.DUMMYFUNCTION("""COMPUTED_VALUE"""),291.76)</f>
        <v>291.76</v>
      </c>
      <c r="D74" s="2">
        <f>IFERROR(__xludf.DUMMYFUNCTION("""COMPUTED_VALUE"""),287.01)</f>
        <v>287.01</v>
      </c>
      <c r="E74" s="2">
        <f>IFERROR(__xludf.DUMMYFUNCTION("""COMPUTED_VALUE"""),288.37)</f>
        <v>288.37</v>
      </c>
      <c r="F74" s="2">
        <f>IFERROR(__xludf.DUMMYFUNCTION("""COMPUTED_VALUE"""),2.0161845E7)</f>
        <v>20161845</v>
      </c>
    </row>
    <row r="75">
      <c r="A75" s="3">
        <f>IFERROR(__xludf.DUMMYFUNCTION("""COMPUTED_VALUE"""),45035.66666666667)</f>
        <v>45035.66667</v>
      </c>
      <c r="B75" s="2">
        <f>IFERROR(__xludf.DUMMYFUNCTION("""COMPUTED_VALUE"""),285.99)</f>
        <v>285.99</v>
      </c>
      <c r="C75" s="2">
        <f>IFERROR(__xludf.DUMMYFUNCTION("""COMPUTED_VALUE"""),289.05)</f>
        <v>289.05</v>
      </c>
      <c r="D75" s="2">
        <f>IFERROR(__xludf.DUMMYFUNCTION("""COMPUTED_VALUE"""),284.54)</f>
        <v>284.54</v>
      </c>
      <c r="E75" s="2">
        <f>IFERROR(__xludf.DUMMYFUNCTION("""COMPUTED_VALUE"""),288.45)</f>
        <v>288.45</v>
      </c>
      <c r="F75" s="2">
        <f>IFERROR(__xludf.DUMMYFUNCTION("""COMPUTED_VALUE"""),1.7150271E7)</f>
        <v>17150271</v>
      </c>
    </row>
    <row r="76">
      <c r="A76" s="3">
        <f>IFERROR(__xludf.DUMMYFUNCTION("""COMPUTED_VALUE"""),45036.66666666667)</f>
        <v>45036.66667</v>
      </c>
      <c r="B76" s="2">
        <f>IFERROR(__xludf.DUMMYFUNCTION("""COMPUTED_VALUE"""),285.25)</f>
        <v>285.25</v>
      </c>
      <c r="C76" s="2">
        <f>IFERROR(__xludf.DUMMYFUNCTION("""COMPUTED_VALUE"""),289.03)</f>
        <v>289.03</v>
      </c>
      <c r="D76" s="2">
        <f>IFERROR(__xludf.DUMMYFUNCTION("""COMPUTED_VALUE"""),285.08)</f>
        <v>285.08</v>
      </c>
      <c r="E76" s="2">
        <f>IFERROR(__xludf.DUMMYFUNCTION("""COMPUTED_VALUE"""),286.11)</f>
        <v>286.11</v>
      </c>
      <c r="F76" s="2">
        <f>IFERROR(__xludf.DUMMYFUNCTION("""COMPUTED_VALUE"""),2.3244363E7)</f>
        <v>23244363</v>
      </c>
    </row>
    <row r="77">
      <c r="A77" s="3">
        <f>IFERROR(__xludf.DUMMYFUNCTION("""COMPUTED_VALUE"""),45037.66666666667)</f>
        <v>45037.66667</v>
      </c>
      <c r="B77" s="2">
        <f>IFERROR(__xludf.DUMMYFUNCTION("""COMPUTED_VALUE"""),285.01)</f>
        <v>285.01</v>
      </c>
      <c r="C77" s="2">
        <f>IFERROR(__xludf.DUMMYFUNCTION("""COMPUTED_VALUE"""),286.27)</f>
        <v>286.27</v>
      </c>
      <c r="D77" s="2">
        <f>IFERROR(__xludf.DUMMYFUNCTION("""COMPUTED_VALUE"""),283.06)</f>
        <v>283.06</v>
      </c>
      <c r="E77" s="2">
        <f>IFERROR(__xludf.DUMMYFUNCTION("""COMPUTED_VALUE"""),285.76)</f>
        <v>285.76</v>
      </c>
      <c r="F77" s="2">
        <f>IFERROR(__xludf.DUMMYFUNCTION("""COMPUTED_VALUE"""),2.1676387E7)</f>
        <v>21676387</v>
      </c>
    </row>
    <row r="78">
      <c r="A78" s="3">
        <f>IFERROR(__xludf.DUMMYFUNCTION("""COMPUTED_VALUE"""),45040.66666666667)</f>
        <v>45040.66667</v>
      </c>
      <c r="B78" s="2">
        <f>IFERROR(__xludf.DUMMYFUNCTION("""COMPUTED_VALUE"""),282.09)</f>
        <v>282.09</v>
      </c>
      <c r="C78" s="2">
        <f>IFERROR(__xludf.DUMMYFUNCTION("""COMPUTED_VALUE"""),284.95)</f>
        <v>284.95</v>
      </c>
      <c r="D78" s="2">
        <f>IFERROR(__xludf.DUMMYFUNCTION("""COMPUTED_VALUE"""),278.72)</f>
        <v>278.72</v>
      </c>
      <c r="E78" s="2">
        <f>IFERROR(__xludf.DUMMYFUNCTION("""COMPUTED_VALUE"""),281.77)</f>
        <v>281.77</v>
      </c>
      <c r="F78" s="2">
        <f>IFERROR(__xludf.DUMMYFUNCTION("""COMPUTED_VALUE"""),2.6611014E7)</f>
        <v>26611014</v>
      </c>
    </row>
    <row r="79">
      <c r="A79" s="3">
        <f>IFERROR(__xludf.DUMMYFUNCTION("""COMPUTED_VALUE"""),45041.66666666667)</f>
        <v>45041.66667</v>
      </c>
      <c r="B79" s="2">
        <f>IFERROR(__xludf.DUMMYFUNCTION("""COMPUTED_VALUE"""),279.51)</f>
        <v>279.51</v>
      </c>
      <c r="C79" s="2">
        <f>IFERROR(__xludf.DUMMYFUNCTION("""COMPUTED_VALUE"""),281.6)</f>
        <v>281.6</v>
      </c>
      <c r="D79" s="2">
        <f>IFERROR(__xludf.DUMMYFUNCTION("""COMPUTED_VALUE"""),275.37)</f>
        <v>275.37</v>
      </c>
      <c r="E79" s="2">
        <f>IFERROR(__xludf.DUMMYFUNCTION("""COMPUTED_VALUE"""),275.42)</f>
        <v>275.42</v>
      </c>
      <c r="F79" s="2">
        <f>IFERROR(__xludf.DUMMYFUNCTION("""COMPUTED_VALUE"""),4.5772236E7)</f>
        <v>45772236</v>
      </c>
    </row>
    <row r="80">
      <c r="A80" s="3">
        <f>IFERROR(__xludf.DUMMYFUNCTION("""COMPUTED_VALUE"""),45042.66666666667)</f>
        <v>45042.66667</v>
      </c>
      <c r="B80" s="2">
        <f>IFERROR(__xludf.DUMMYFUNCTION("""COMPUTED_VALUE"""),296.7)</f>
        <v>296.7</v>
      </c>
      <c r="C80" s="2">
        <f>IFERROR(__xludf.DUMMYFUNCTION("""COMPUTED_VALUE"""),299.57)</f>
        <v>299.57</v>
      </c>
      <c r="D80" s="2">
        <f>IFERROR(__xludf.DUMMYFUNCTION("""COMPUTED_VALUE"""),292.73)</f>
        <v>292.73</v>
      </c>
      <c r="E80" s="2">
        <f>IFERROR(__xludf.DUMMYFUNCTION("""COMPUTED_VALUE"""),295.37)</f>
        <v>295.37</v>
      </c>
      <c r="F80" s="2">
        <f>IFERROR(__xludf.DUMMYFUNCTION("""COMPUTED_VALUE"""),6.4599182E7)</f>
        <v>64599182</v>
      </c>
    </row>
    <row r="81">
      <c r="A81" s="3">
        <f>IFERROR(__xludf.DUMMYFUNCTION("""COMPUTED_VALUE"""),45043.66666666667)</f>
        <v>45043.66667</v>
      </c>
      <c r="B81" s="2">
        <f>IFERROR(__xludf.DUMMYFUNCTION("""COMPUTED_VALUE"""),295.97)</f>
        <v>295.97</v>
      </c>
      <c r="C81" s="2">
        <f>IFERROR(__xludf.DUMMYFUNCTION("""COMPUTED_VALUE"""),305.2)</f>
        <v>305.2</v>
      </c>
      <c r="D81" s="2">
        <f>IFERROR(__xludf.DUMMYFUNCTION("""COMPUTED_VALUE"""),295.25)</f>
        <v>295.25</v>
      </c>
      <c r="E81" s="2">
        <f>IFERROR(__xludf.DUMMYFUNCTION("""COMPUTED_VALUE"""),304.83)</f>
        <v>304.83</v>
      </c>
      <c r="F81" s="2">
        <f>IFERROR(__xludf.DUMMYFUNCTION("""COMPUTED_VALUE"""),4.6462638E7)</f>
        <v>46462638</v>
      </c>
    </row>
    <row r="82">
      <c r="A82" s="3">
        <f>IFERROR(__xludf.DUMMYFUNCTION("""COMPUTED_VALUE"""),45044.66666666667)</f>
        <v>45044.66667</v>
      </c>
      <c r="B82" s="2">
        <f>IFERROR(__xludf.DUMMYFUNCTION("""COMPUTED_VALUE"""),304.01)</f>
        <v>304.01</v>
      </c>
      <c r="C82" s="2">
        <f>IFERROR(__xludf.DUMMYFUNCTION("""COMPUTED_VALUE"""),308.93)</f>
        <v>308.93</v>
      </c>
      <c r="D82" s="2">
        <f>IFERROR(__xludf.DUMMYFUNCTION("""COMPUTED_VALUE"""),303.31)</f>
        <v>303.31</v>
      </c>
      <c r="E82" s="2">
        <f>IFERROR(__xludf.DUMMYFUNCTION("""COMPUTED_VALUE"""),307.26)</f>
        <v>307.26</v>
      </c>
      <c r="F82" s="2">
        <f>IFERROR(__xludf.DUMMYFUNCTION("""COMPUTED_VALUE"""),3.6469613E7)</f>
        <v>36469613</v>
      </c>
    </row>
    <row r="83">
      <c r="A83" s="3">
        <f>IFERROR(__xludf.DUMMYFUNCTION("""COMPUTED_VALUE"""),45047.66666666667)</f>
        <v>45047.66667</v>
      </c>
      <c r="B83" s="2">
        <f>IFERROR(__xludf.DUMMYFUNCTION("""COMPUTED_VALUE"""),306.97)</f>
        <v>306.97</v>
      </c>
      <c r="C83" s="2">
        <f>IFERROR(__xludf.DUMMYFUNCTION("""COMPUTED_VALUE"""),308.6)</f>
        <v>308.6</v>
      </c>
      <c r="D83" s="2">
        <f>IFERROR(__xludf.DUMMYFUNCTION("""COMPUTED_VALUE"""),305.15)</f>
        <v>305.15</v>
      </c>
      <c r="E83" s="2">
        <f>IFERROR(__xludf.DUMMYFUNCTION("""COMPUTED_VALUE"""),305.56)</f>
        <v>305.56</v>
      </c>
      <c r="F83" s="2">
        <f>IFERROR(__xludf.DUMMYFUNCTION("""COMPUTED_VALUE"""),2.1294115E7)</f>
        <v>21294115</v>
      </c>
    </row>
    <row r="84">
      <c r="A84" s="3">
        <f>IFERROR(__xludf.DUMMYFUNCTION("""COMPUTED_VALUE"""),45048.66666666667)</f>
        <v>45048.66667</v>
      </c>
      <c r="B84" s="2">
        <f>IFERROR(__xludf.DUMMYFUNCTION("""COMPUTED_VALUE"""),307.76)</f>
        <v>307.76</v>
      </c>
      <c r="C84" s="2">
        <f>IFERROR(__xludf.DUMMYFUNCTION("""COMPUTED_VALUE"""),309.18)</f>
        <v>309.18</v>
      </c>
      <c r="D84" s="2">
        <f>IFERROR(__xludf.DUMMYFUNCTION("""COMPUTED_VALUE"""),303.91)</f>
        <v>303.91</v>
      </c>
      <c r="E84" s="2">
        <f>IFERROR(__xludf.DUMMYFUNCTION("""COMPUTED_VALUE"""),305.41)</f>
        <v>305.41</v>
      </c>
      <c r="F84" s="2">
        <f>IFERROR(__xludf.DUMMYFUNCTION("""COMPUTED_VALUE"""),2.6404431E7)</f>
        <v>26404431</v>
      </c>
    </row>
    <row r="85">
      <c r="A85" s="3">
        <f>IFERROR(__xludf.DUMMYFUNCTION("""COMPUTED_VALUE"""),45049.66666666667)</f>
        <v>45049.66667</v>
      </c>
      <c r="B85" s="2">
        <f>IFERROR(__xludf.DUMMYFUNCTION("""COMPUTED_VALUE"""),306.62)</f>
        <v>306.62</v>
      </c>
      <c r="C85" s="2">
        <f>IFERROR(__xludf.DUMMYFUNCTION("""COMPUTED_VALUE"""),308.61)</f>
        <v>308.61</v>
      </c>
      <c r="D85" s="2">
        <f>IFERROR(__xludf.DUMMYFUNCTION("""COMPUTED_VALUE"""),304.09)</f>
        <v>304.09</v>
      </c>
      <c r="E85" s="2">
        <f>IFERROR(__xludf.DUMMYFUNCTION("""COMPUTED_VALUE"""),304.4)</f>
        <v>304.4</v>
      </c>
      <c r="F85" s="2">
        <f>IFERROR(__xludf.DUMMYFUNCTION("""COMPUTED_VALUE"""),2.2360754E7)</f>
        <v>22360754</v>
      </c>
    </row>
    <row r="86">
      <c r="A86" s="3">
        <f>IFERROR(__xludf.DUMMYFUNCTION("""COMPUTED_VALUE"""),45050.66666666667)</f>
        <v>45050.66667</v>
      </c>
      <c r="B86" s="2">
        <f>IFERROR(__xludf.DUMMYFUNCTION("""COMPUTED_VALUE"""),306.24)</f>
        <v>306.24</v>
      </c>
      <c r="C86" s="2">
        <f>IFERROR(__xludf.DUMMYFUNCTION("""COMPUTED_VALUE"""),307.76)</f>
        <v>307.76</v>
      </c>
      <c r="D86" s="2">
        <f>IFERROR(__xludf.DUMMYFUNCTION("""COMPUTED_VALUE"""),303.4)</f>
        <v>303.4</v>
      </c>
      <c r="E86" s="2">
        <f>IFERROR(__xludf.DUMMYFUNCTION("""COMPUTED_VALUE"""),305.41)</f>
        <v>305.41</v>
      </c>
      <c r="F86" s="2">
        <f>IFERROR(__xludf.DUMMYFUNCTION("""COMPUTED_VALUE"""),2.2519907E7)</f>
        <v>22519907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IFERROR(__xludf.DUMMYFUNCTION("""COMPUTED_VALUE"""),305.72)</f>
        <v>305.72</v>
      </c>
      <c r="C87" s="2">
        <f>IFERROR(__xludf.DUMMYFUNCTION("""COMPUTED_VALUE"""),311.97)</f>
        <v>311.97</v>
      </c>
      <c r="D87" s="2">
        <f>IFERROR(__xludf.DUMMYFUNCTION("""COMPUTED_VALUE"""),304.27)</f>
        <v>304.27</v>
      </c>
      <c r="E87" s="2">
        <f>IFERROR(__xludf.DUMMYFUNCTION("""COMPUTED_VALUE"""),310.65)</f>
        <v>310.65</v>
      </c>
      <c r="F87" s="2">
        <f>IFERROR(__xludf.DUMMYFUNCTION("""COMPUTED_VALUE"""),2.8197052E7)</f>
        <v>28197052</v>
      </c>
    </row>
    <row r="88">
      <c r="A88" s="3">
        <f>IFERROR(__xludf.DUMMYFUNCTION("""COMPUTED_VALUE"""),45054.66666666667)</f>
        <v>45054.66667</v>
      </c>
      <c r="B88" s="2">
        <f>IFERROR(__xludf.DUMMYFUNCTION("""COMPUTED_VALUE"""),310.13)</f>
        <v>310.13</v>
      </c>
      <c r="C88" s="2">
        <f>IFERROR(__xludf.DUMMYFUNCTION("""COMPUTED_VALUE"""),310.2)</f>
        <v>310.2</v>
      </c>
      <c r="D88" s="2">
        <f>IFERROR(__xludf.DUMMYFUNCTION("""COMPUTED_VALUE"""),306.09)</f>
        <v>306.09</v>
      </c>
      <c r="E88" s="2">
        <f>IFERROR(__xludf.DUMMYFUNCTION("""COMPUTED_VALUE"""),308.65)</f>
        <v>308.65</v>
      </c>
      <c r="F88" s="2">
        <f>IFERROR(__xludf.DUMMYFUNCTION("""COMPUTED_VALUE"""),2.1318613E7)</f>
        <v>21318613</v>
      </c>
    </row>
    <row r="89">
      <c r="A89" s="3">
        <f>IFERROR(__xludf.DUMMYFUNCTION("""COMPUTED_VALUE"""),45055.66666666667)</f>
        <v>45055.66667</v>
      </c>
      <c r="B89" s="2">
        <f>IFERROR(__xludf.DUMMYFUNCTION("""COMPUTED_VALUE"""),308.0)</f>
        <v>308</v>
      </c>
      <c r="C89" s="2">
        <f>IFERROR(__xludf.DUMMYFUNCTION("""COMPUTED_VALUE"""),310.04)</f>
        <v>310.04</v>
      </c>
      <c r="D89" s="2">
        <f>IFERROR(__xludf.DUMMYFUNCTION("""COMPUTED_VALUE"""),306.31)</f>
        <v>306.31</v>
      </c>
      <c r="E89" s="2">
        <f>IFERROR(__xludf.DUMMYFUNCTION("""COMPUTED_VALUE"""),307.0)</f>
        <v>307</v>
      </c>
      <c r="F89" s="2">
        <f>IFERROR(__xludf.DUMMYFUNCTION("""COMPUTED_VALUE"""),2.1340829E7)</f>
        <v>21340829</v>
      </c>
    </row>
    <row r="90">
      <c r="A90" s="3">
        <f>IFERROR(__xludf.DUMMYFUNCTION("""COMPUTED_VALUE"""),45056.66666666667)</f>
        <v>45056.66667</v>
      </c>
      <c r="B90" s="2">
        <f>IFERROR(__xludf.DUMMYFUNCTION("""COMPUTED_VALUE"""),308.62)</f>
        <v>308.62</v>
      </c>
      <c r="C90" s="2">
        <f>IFERROR(__xludf.DUMMYFUNCTION("""COMPUTED_VALUE"""),313.0)</f>
        <v>313</v>
      </c>
      <c r="D90" s="2">
        <f>IFERROR(__xludf.DUMMYFUNCTION("""COMPUTED_VALUE"""),307.67)</f>
        <v>307.67</v>
      </c>
      <c r="E90" s="2">
        <f>IFERROR(__xludf.DUMMYFUNCTION("""COMPUTED_VALUE"""),312.31)</f>
        <v>312.31</v>
      </c>
      <c r="F90" s="2">
        <f>IFERROR(__xludf.DUMMYFUNCTION("""COMPUTED_VALUE"""),3.0078044E7)</f>
        <v>30078044</v>
      </c>
    </row>
    <row r="91">
      <c r="A91" s="3">
        <f>IFERROR(__xludf.DUMMYFUNCTION("""COMPUTED_VALUE"""),45057.66666666667)</f>
        <v>45057.66667</v>
      </c>
      <c r="B91" s="2">
        <f>IFERROR(__xludf.DUMMYFUNCTION("""COMPUTED_VALUE"""),310.1)</f>
        <v>310.1</v>
      </c>
      <c r="C91" s="2">
        <f>IFERROR(__xludf.DUMMYFUNCTION("""COMPUTED_VALUE"""),311.12)</f>
        <v>311.12</v>
      </c>
      <c r="D91" s="2">
        <f>IFERROR(__xludf.DUMMYFUNCTION("""COMPUTED_VALUE"""),306.26)</f>
        <v>306.26</v>
      </c>
      <c r="E91" s="2">
        <f>IFERROR(__xludf.DUMMYFUNCTION("""COMPUTED_VALUE"""),310.11)</f>
        <v>310.11</v>
      </c>
      <c r="F91" s="2">
        <f>IFERROR(__xludf.DUMMYFUNCTION("""COMPUTED_VALUE"""),3.1680179E7)</f>
        <v>31680179</v>
      </c>
    </row>
    <row r="92">
      <c r="A92" s="3">
        <f>IFERROR(__xludf.DUMMYFUNCTION("""COMPUTED_VALUE"""),45058.66666666667)</f>
        <v>45058.66667</v>
      </c>
      <c r="B92" s="2">
        <f>IFERROR(__xludf.DUMMYFUNCTION("""COMPUTED_VALUE"""),310.55)</f>
        <v>310.55</v>
      </c>
      <c r="C92" s="2">
        <f>IFERROR(__xludf.DUMMYFUNCTION("""COMPUTED_VALUE"""),310.65)</f>
        <v>310.65</v>
      </c>
      <c r="D92" s="2">
        <f>IFERROR(__xludf.DUMMYFUNCTION("""COMPUTED_VALUE"""),306.6)</f>
        <v>306.6</v>
      </c>
      <c r="E92" s="2">
        <f>IFERROR(__xludf.DUMMYFUNCTION("""COMPUTED_VALUE"""),308.97)</f>
        <v>308.97</v>
      </c>
      <c r="F92" s="2">
        <f>IFERROR(__xludf.DUMMYFUNCTION("""COMPUTED_VALUE"""),1.9774696E7)</f>
        <v>19774696</v>
      </c>
    </row>
    <row r="93">
      <c r="A93" s="3">
        <f>IFERROR(__xludf.DUMMYFUNCTION("""COMPUTED_VALUE"""),45061.66666666667)</f>
        <v>45061.66667</v>
      </c>
      <c r="B93" s="2">
        <f>IFERROR(__xludf.DUMMYFUNCTION("""COMPUTED_VALUE"""),309.1)</f>
        <v>309.1</v>
      </c>
      <c r="C93" s="2">
        <f>IFERROR(__xludf.DUMMYFUNCTION("""COMPUTED_VALUE"""),309.9)</f>
        <v>309.9</v>
      </c>
      <c r="D93" s="2">
        <f>IFERROR(__xludf.DUMMYFUNCTION("""COMPUTED_VALUE"""),307.59)</f>
        <v>307.59</v>
      </c>
      <c r="E93" s="2">
        <f>IFERROR(__xludf.DUMMYFUNCTION("""COMPUTED_VALUE"""),309.46)</f>
        <v>309.46</v>
      </c>
      <c r="F93" s="2">
        <f>IFERROR(__xludf.DUMMYFUNCTION("""COMPUTED_VALUE"""),1.6336547E7)</f>
        <v>16336547</v>
      </c>
    </row>
    <row r="94">
      <c r="A94" s="3">
        <f>IFERROR(__xludf.DUMMYFUNCTION("""COMPUTED_VALUE"""),45062.66666666667)</f>
        <v>45062.66667</v>
      </c>
      <c r="B94" s="2">
        <f>IFERROR(__xludf.DUMMYFUNCTION("""COMPUTED_VALUE"""),309.83)</f>
        <v>309.83</v>
      </c>
      <c r="C94" s="2">
        <f>IFERROR(__xludf.DUMMYFUNCTION("""COMPUTED_VALUE"""),313.71)</f>
        <v>313.71</v>
      </c>
      <c r="D94" s="2">
        <f>IFERROR(__xludf.DUMMYFUNCTION("""COMPUTED_VALUE"""),309.83)</f>
        <v>309.83</v>
      </c>
      <c r="E94" s="2">
        <f>IFERROR(__xludf.DUMMYFUNCTION("""COMPUTED_VALUE"""),311.74)</f>
        <v>311.74</v>
      </c>
      <c r="F94" s="2">
        <f>IFERROR(__xludf.DUMMYFUNCTION("""COMPUTED_VALUE"""),2.6730347E7)</f>
        <v>26730347</v>
      </c>
    </row>
    <row r="95">
      <c r="A95" s="3">
        <f>IFERROR(__xludf.DUMMYFUNCTION("""COMPUTED_VALUE"""),45063.66666666667)</f>
        <v>45063.66667</v>
      </c>
      <c r="B95" s="2">
        <f>IFERROR(__xludf.DUMMYFUNCTION("""COMPUTED_VALUE"""),312.29)</f>
        <v>312.29</v>
      </c>
      <c r="C95" s="2">
        <f>IFERROR(__xludf.DUMMYFUNCTION("""COMPUTED_VALUE"""),314.43)</f>
        <v>314.43</v>
      </c>
      <c r="D95" s="2">
        <f>IFERROR(__xludf.DUMMYFUNCTION("""COMPUTED_VALUE"""),310.74)</f>
        <v>310.74</v>
      </c>
      <c r="E95" s="2">
        <f>IFERROR(__xludf.DUMMYFUNCTION("""COMPUTED_VALUE"""),314.0)</f>
        <v>314</v>
      </c>
      <c r="F95" s="2">
        <f>IFERROR(__xludf.DUMMYFUNCTION("""COMPUTED_VALUE"""),2.4315012E7)</f>
        <v>24315012</v>
      </c>
    </row>
    <row r="96">
      <c r="A96" s="3">
        <f>IFERROR(__xludf.DUMMYFUNCTION("""COMPUTED_VALUE"""),45064.66666666667)</f>
        <v>45064.66667</v>
      </c>
      <c r="B96" s="2">
        <f>IFERROR(__xludf.DUMMYFUNCTION("""COMPUTED_VALUE"""),314.53)</f>
        <v>314.53</v>
      </c>
      <c r="C96" s="2">
        <f>IFERROR(__xludf.DUMMYFUNCTION("""COMPUTED_VALUE"""),319.04)</f>
        <v>319.04</v>
      </c>
      <c r="D96" s="2">
        <f>IFERROR(__xludf.DUMMYFUNCTION("""COMPUTED_VALUE"""),313.72)</f>
        <v>313.72</v>
      </c>
      <c r="E96" s="2">
        <f>IFERROR(__xludf.DUMMYFUNCTION("""COMPUTED_VALUE"""),318.52)</f>
        <v>318.52</v>
      </c>
      <c r="F96" s="2">
        <f>IFERROR(__xludf.DUMMYFUNCTION("""COMPUTED_VALUE"""),2.7275991E7)</f>
        <v>27275991</v>
      </c>
    </row>
    <row r="97">
      <c r="A97" s="3">
        <f>IFERROR(__xludf.DUMMYFUNCTION("""COMPUTED_VALUE"""),45065.66666666667)</f>
        <v>45065.66667</v>
      </c>
      <c r="B97" s="2">
        <f>IFERROR(__xludf.DUMMYFUNCTION("""COMPUTED_VALUE"""),316.74)</f>
        <v>316.74</v>
      </c>
      <c r="C97" s="2">
        <f>IFERROR(__xludf.DUMMYFUNCTION("""COMPUTED_VALUE"""),318.75)</f>
        <v>318.75</v>
      </c>
      <c r="D97" s="2">
        <f>IFERROR(__xludf.DUMMYFUNCTION("""COMPUTED_VALUE"""),316.37)</f>
        <v>316.37</v>
      </c>
      <c r="E97" s="2">
        <f>IFERROR(__xludf.DUMMYFUNCTION("""COMPUTED_VALUE"""),318.34)</f>
        <v>318.34</v>
      </c>
      <c r="F97" s="2">
        <f>IFERROR(__xludf.DUMMYFUNCTION("""COMPUTED_VALUE"""),2.7546701E7)</f>
        <v>27546701</v>
      </c>
    </row>
    <row r="98">
      <c r="A98" s="3">
        <f>IFERROR(__xludf.DUMMYFUNCTION("""COMPUTED_VALUE"""),45068.66666666667)</f>
        <v>45068.66667</v>
      </c>
      <c r="B98" s="2">
        <f>IFERROR(__xludf.DUMMYFUNCTION("""COMPUTED_VALUE"""),318.6)</f>
        <v>318.6</v>
      </c>
      <c r="C98" s="2">
        <f>IFERROR(__xludf.DUMMYFUNCTION("""COMPUTED_VALUE"""),322.59)</f>
        <v>322.59</v>
      </c>
      <c r="D98" s="2">
        <f>IFERROR(__xludf.DUMMYFUNCTION("""COMPUTED_VALUE"""),318.01)</f>
        <v>318.01</v>
      </c>
      <c r="E98" s="2">
        <f>IFERROR(__xludf.DUMMYFUNCTION("""COMPUTED_VALUE"""),321.18)</f>
        <v>321.18</v>
      </c>
      <c r="F98" s="2">
        <f>IFERROR(__xludf.DUMMYFUNCTION("""COMPUTED_VALUE"""),2.4115664E7)</f>
        <v>24115664</v>
      </c>
    </row>
    <row r="99">
      <c r="A99" s="3">
        <f>IFERROR(__xludf.DUMMYFUNCTION("""COMPUTED_VALUE"""),45069.66666666667)</f>
        <v>45069.66667</v>
      </c>
      <c r="B99" s="2">
        <f>IFERROR(__xludf.DUMMYFUNCTION("""COMPUTED_VALUE"""),320.03)</f>
        <v>320.03</v>
      </c>
      <c r="C99" s="2">
        <f>IFERROR(__xludf.DUMMYFUNCTION("""COMPUTED_VALUE"""),322.72)</f>
        <v>322.72</v>
      </c>
      <c r="D99" s="2">
        <f>IFERROR(__xludf.DUMMYFUNCTION("""COMPUTED_VALUE"""),315.25)</f>
        <v>315.25</v>
      </c>
      <c r="E99" s="2">
        <f>IFERROR(__xludf.DUMMYFUNCTION("""COMPUTED_VALUE"""),315.26)</f>
        <v>315.26</v>
      </c>
      <c r="F99" s="2">
        <f>IFERROR(__xludf.DUMMYFUNCTION("""COMPUTED_VALUE"""),3.0797173E7)</f>
        <v>30797173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IFERROR(__xludf.DUMMYFUNCTION("""COMPUTED_VALUE"""),314.73)</f>
        <v>314.73</v>
      </c>
      <c r="C100" s="2">
        <f>IFERROR(__xludf.DUMMYFUNCTION("""COMPUTED_VALUE"""),316.5)</f>
        <v>316.5</v>
      </c>
      <c r="D100" s="2">
        <f>IFERROR(__xludf.DUMMYFUNCTION("""COMPUTED_VALUE"""),312.61)</f>
        <v>312.61</v>
      </c>
      <c r="E100" s="2">
        <f>IFERROR(__xludf.DUMMYFUNCTION("""COMPUTED_VALUE"""),313.85)</f>
        <v>313.85</v>
      </c>
      <c r="F100" s="2">
        <f>IFERROR(__xludf.DUMMYFUNCTION("""COMPUTED_VALUE"""),2.3384887E7)</f>
        <v>23384887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IFERROR(__xludf.DUMMYFUNCTION("""COMPUTED_VALUE"""),323.24)</f>
        <v>323.24</v>
      </c>
      <c r="C101" s="2">
        <f>IFERROR(__xludf.DUMMYFUNCTION("""COMPUTED_VALUE"""),326.9)</f>
        <v>326.9</v>
      </c>
      <c r="D101" s="2">
        <f>IFERROR(__xludf.DUMMYFUNCTION("""COMPUTED_VALUE"""),320.0)</f>
        <v>320</v>
      </c>
      <c r="E101" s="2">
        <f>IFERROR(__xludf.DUMMYFUNCTION("""COMPUTED_VALUE"""),325.92)</f>
        <v>325.92</v>
      </c>
      <c r="F101" s="2">
        <f>IFERROR(__xludf.DUMMYFUNCTION("""COMPUTED_VALUE"""),4.3301743E7)</f>
        <v>43301743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IFERROR(__xludf.DUMMYFUNCTION("""COMPUTED_VALUE"""),324.02)</f>
        <v>324.02</v>
      </c>
      <c r="C102" s="2">
        <f>IFERROR(__xludf.DUMMYFUNCTION("""COMPUTED_VALUE"""),333.4)</f>
        <v>333.4</v>
      </c>
      <c r="D102" s="2">
        <f>IFERROR(__xludf.DUMMYFUNCTION("""COMPUTED_VALUE"""),323.88)</f>
        <v>323.88</v>
      </c>
      <c r="E102" s="2">
        <f>IFERROR(__xludf.DUMMYFUNCTION("""COMPUTED_VALUE"""),332.89)</f>
        <v>332.89</v>
      </c>
      <c r="F102" s="2">
        <f>IFERROR(__xludf.DUMMYFUNCTION("""COMPUTED_VALUE"""),3.6630633E7)</f>
        <v>36630633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IFERROR(__xludf.DUMMYFUNCTION("""COMPUTED_VALUE"""),335.23)</f>
        <v>335.23</v>
      </c>
      <c r="C103" s="2">
        <f>IFERROR(__xludf.DUMMYFUNCTION("""COMPUTED_VALUE"""),335.74)</f>
        <v>335.74</v>
      </c>
      <c r="D103" s="2">
        <f>IFERROR(__xludf.DUMMYFUNCTION("""COMPUTED_VALUE"""),330.52)</f>
        <v>330.52</v>
      </c>
      <c r="E103" s="2">
        <f>IFERROR(__xludf.DUMMYFUNCTION("""COMPUTED_VALUE"""),331.21)</f>
        <v>331.21</v>
      </c>
      <c r="F103" s="2">
        <f>IFERROR(__xludf.DUMMYFUNCTION("""COMPUTED_VALUE"""),2.950307E7)</f>
        <v>29503070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IFERROR(__xludf.DUMMYFUNCTION("""COMPUTED_VALUE"""),332.29)</f>
        <v>332.29</v>
      </c>
      <c r="C104" s="2">
        <f>IFERROR(__xludf.DUMMYFUNCTION("""COMPUTED_VALUE"""),335.94)</f>
        <v>335.94</v>
      </c>
      <c r="D104" s="2">
        <f>IFERROR(__xludf.DUMMYFUNCTION("""COMPUTED_VALUE"""),327.33)</f>
        <v>327.33</v>
      </c>
      <c r="E104" s="2">
        <f>IFERROR(__xludf.DUMMYFUNCTION("""COMPUTED_VALUE"""),328.39)</f>
        <v>328.39</v>
      </c>
      <c r="F104" s="2">
        <f>IFERROR(__xludf.DUMMYFUNCTION("""COMPUTED_VALUE"""),4.5950553E7)</f>
        <v>45950553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IFERROR(__xludf.DUMMYFUNCTION("""COMPUTED_VALUE"""),325.93)</f>
        <v>325.93</v>
      </c>
      <c r="C105" s="2">
        <f>IFERROR(__xludf.DUMMYFUNCTION("""COMPUTED_VALUE"""),333.53)</f>
        <v>333.53</v>
      </c>
      <c r="D105" s="2">
        <f>IFERROR(__xludf.DUMMYFUNCTION("""COMPUTED_VALUE"""),324.72)</f>
        <v>324.72</v>
      </c>
      <c r="E105" s="2">
        <f>IFERROR(__xludf.DUMMYFUNCTION("""COMPUTED_VALUE"""),332.58)</f>
        <v>332.58</v>
      </c>
      <c r="F105" s="2">
        <f>IFERROR(__xludf.DUMMYFUNCTION("""COMPUTED_VALUE"""),2.6773851E7)</f>
        <v>26773851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IFERROR(__xludf.DUMMYFUNCTION("""COMPUTED_VALUE"""),334.25)</f>
        <v>334.25</v>
      </c>
      <c r="C106" s="2">
        <f>IFERROR(__xludf.DUMMYFUNCTION("""COMPUTED_VALUE"""),337.5)</f>
        <v>337.5</v>
      </c>
      <c r="D106" s="2">
        <f>IFERROR(__xludf.DUMMYFUNCTION("""COMPUTED_VALUE"""),332.55)</f>
        <v>332.55</v>
      </c>
      <c r="E106" s="2">
        <f>IFERROR(__xludf.DUMMYFUNCTION("""COMPUTED_VALUE"""),335.4)</f>
        <v>335.4</v>
      </c>
      <c r="F106" s="2">
        <f>IFERROR(__xludf.DUMMYFUNCTION("""COMPUTED_VALUE"""),2.5873769E7)</f>
        <v>25873769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IFERROR(__xludf.DUMMYFUNCTION("""COMPUTED_VALUE"""),335.22)</f>
        <v>335.22</v>
      </c>
      <c r="C107" s="2">
        <f>IFERROR(__xludf.DUMMYFUNCTION("""COMPUTED_VALUE"""),338.56)</f>
        <v>338.56</v>
      </c>
      <c r="D107" s="2">
        <f>IFERROR(__xludf.DUMMYFUNCTION("""COMPUTED_VALUE"""),334.66)</f>
        <v>334.66</v>
      </c>
      <c r="E107" s="2">
        <f>IFERROR(__xludf.DUMMYFUNCTION("""COMPUTED_VALUE"""),335.94)</f>
        <v>335.94</v>
      </c>
      <c r="F107" s="2">
        <f>IFERROR(__xludf.DUMMYFUNCTION("""COMPUTED_VALUE"""),2.1307053E7)</f>
        <v>21307053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IFERROR(__xludf.DUMMYFUNCTION("""COMPUTED_VALUE"""),335.33)</f>
        <v>335.33</v>
      </c>
      <c r="C108" s="2">
        <f>IFERROR(__xludf.DUMMYFUNCTION("""COMPUTED_VALUE"""),335.37)</f>
        <v>335.37</v>
      </c>
      <c r="D108" s="2">
        <f>IFERROR(__xludf.DUMMYFUNCTION("""COMPUTED_VALUE"""),332.17)</f>
        <v>332.17</v>
      </c>
      <c r="E108" s="2">
        <f>IFERROR(__xludf.DUMMYFUNCTION("""COMPUTED_VALUE"""),333.68)</f>
        <v>333.68</v>
      </c>
      <c r="F108" s="2">
        <f>IFERROR(__xludf.DUMMYFUNCTION("""COMPUTED_VALUE"""),2.0396223E7)</f>
        <v>20396223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IFERROR(__xludf.DUMMYFUNCTION("""COMPUTED_VALUE"""),331.65)</f>
        <v>331.65</v>
      </c>
      <c r="C109" s="2">
        <f>IFERROR(__xludf.DUMMYFUNCTION("""COMPUTED_VALUE"""),334.49)</f>
        <v>334.49</v>
      </c>
      <c r="D109" s="2">
        <f>IFERROR(__xludf.DUMMYFUNCTION("""COMPUTED_VALUE"""),322.5)</f>
        <v>322.5</v>
      </c>
      <c r="E109" s="2">
        <f>IFERROR(__xludf.DUMMYFUNCTION("""COMPUTED_VALUE"""),323.38)</f>
        <v>323.38</v>
      </c>
      <c r="F109" s="2">
        <f>IFERROR(__xludf.DUMMYFUNCTION("""COMPUTED_VALUE"""),4.0717129E7)</f>
        <v>40717129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IFERROR(__xludf.DUMMYFUNCTION("""COMPUTED_VALUE"""),323.94)</f>
        <v>323.94</v>
      </c>
      <c r="C110" s="2">
        <f>IFERROR(__xludf.DUMMYFUNCTION("""COMPUTED_VALUE"""),326.64)</f>
        <v>326.64</v>
      </c>
      <c r="D110" s="2">
        <f>IFERROR(__xludf.DUMMYFUNCTION("""COMPUTED_VALUE"""),323.35)</f>
        <v>323.35</v>
      </c>
      <c r="E110" s="2">
        <f>IFERROR(__xludf.DUMMYFUNCTION("""COMPUTED_VALUE"""),325.26)</f>
        <v>325.26</v>
      </c>
      <c r="F110" s="2">
        <f>IFERROR(__xludf.DUMMYFUNCTION("""COMPUTED_VALUE"""),2.3277708E7)</f>
        <v>23277708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IFERROR(__xludf.DUMMYFUNCTION("""COMPUTED_VALUE"""),324.99)</f>
        <v>324.99</v>
      </c>
      <c r="C111" s="2">
        <f>IFERROR(__xludf.DUMMYFUNCTION("""COMPUTED_VALUE"""),329.99)</f>
        <v>329.99</v>
      </c>
      <c r="D111" s="2">
        <f>IFERROR(__xludf.DUMMYFUNCTION("""COMPUTED_VALUE"""),324.41)</f>
        <v>324.41</v>
      </c>
      <c r="E111" s="2">
        <f>IFERROR(__xludf.DUMMYFUNCTION("""COMPUTED_VALUE"""),326.79)</f>
        <v>326.79</v>
      </c>
      <c r="F111" s="2">
        <f>IFERROR(__xludf.DUMMYFUNCTION("""COMPUTED_VALUE"""),2.252895E7)</f>
        <v>22528950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IFERROR(__xludf.DUMMYFUNCTION("""COMPUTED_VALUE"""),328.58)</f>
        <v>328.58</v>
      </c>
      <c r="C112" s="2">
        <f>IFERROR(__xludf.DUMMYFUNCTION("""COMPUTED_VALUE"""),332.1)</f>
        <v>332.1</v>
      </c>
      <c r="D112" s="2">
        <f>IFERROR(__xludf.DUMMYFUNCTION("""COMPUTED_VALUE"""),325.16)</f>
        <v>325.16</v>
      </c>
      <c r="E112" s="2">
        <f>IFERROR(__xludf.DUMMYFUNCTION("""COMPUTED_VALUE"""),331.85)</f>
        <v>331.85</v>
      </c>
      <c r="F112" s="2">
        <f>IFERROR(__xludf.DUMMYFUNCTION("""COMPUTED_VALUE"""),2.4306753E7)</f>
        <v>24306753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IFERROR(__xludf.DUMMYFUNCTION("""COMPUTED_VALUE"""),334.47)</f>
        <v>334.47</v>
      </c>
      <c r="C113" s="2">
        <f>IFERROR(__xludf.DUMMYFUNCTION("""COMPUTED_VALUE"""),336.98)</f>
        <v>336.98</v>
      </c>
      <c r="D113" s="2">
        <f>IFERROR(__xludf.DUMMYFUNCTION("""COMPUTED_VALUE"""),330.39)</f>
        <v>330.39</v>
      </c>
      <c r="E113" s="2">
        <f>IFERROR(__xludf.DUMMYFUNCTION("""COMPUTED_VALUE"""),334.29)</f>
        <v>334.29</v>
      </c>
      <c r="F113" s="2">
        <f>IFERROR(__xludf.DUMMYFUNCTION("""COMPUTED_VALUE"""),2.2951279E7)</f>
        <v>22951279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IFERROR(__xludf.DUMMYFUNCTION("""COMPUTED_VALUE"""),334.34)</f>
        <v>334.34</v>
      </c>
      <c r="C114" s="2">
        <f>IFERROR(__xludf.DUMMYFUNCTION("""COMPUTED_VALUE"""),339.04)</f>
        <v>339.04</v>
      </c>
      <c r="D114" s="2">
        <f>IFERROR(__xludf.DUMMYFUNCTION("""COMPUTED_VALUE"""),332.81)</f>
        <v>332.81</v>
      </c>
      <c r="E114" s="2">
        <f>IFERROR(__xludf.DUMMYFUNCTION("""COMPUTED_VALUE"""),337.34)</f>
        <v>337.34</v>
      </c>
      <c r="F114" s="2">
        <f>IFERROR(__xludf.DUMMYFUNCTION("""COMPUTED_VALUE"""),2.6003791E7)</f>
        <v>26003791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IFERROR(__xludf.DUMMYFUNCTION("""COMPUTED_VALUE"""),337.48)</f>
        <v>337.48</v>
      </c>
      <c r="C115" s="2">
        <f>IFERROR(__xludf.DUMMYFUNCTION("""COMPUTED_VALUE"""),349.84)</f>
        <v>349.84</v>
      </c>
      <c r="D115" s="2">
        <f>IFERROR(__xludf.DUMMYFUNCTION("""COMPUTED_VALUE"""),337.2)</f>
        <v>337.2</v>
      </c>
      <c r="E115" s="2">
        <f>IFERROR(__xludf.DUMMYFUNCTION("""COMPUTED_VALUE"""),348.1)</f>
        <v>348.1</v>
      </c>
      <c r="F115" s="2">
        <f>IFERROR(__xludf.DUMMYFUNCTION("""COMPUTED_VALUE"""),3.8899075E7)</f>
        <v>38899075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IFERROR(__xludf.DUMMYFUNCTION("""COMPUTED_VALUE"""),351.32)</f>
        <v>351.32</v>
      </c>
      <c r="C116" s="2">
        <f>IFERROR(__xludf.DUMMYFUNCTION("""COMPUTED_VALUE"""),351.47)</f>
        <v>351.47</v>
      </c>
      <c r="D116" s="2">
        <f>IFERROR(__xludf.DUMMYFUNCTION("""COMPUTED_VALUE"""),341.95)</f>
        <v>341.95</v>
      </c>
      <c r="E116" s="2">
        <f>IFERROR(__xludf.DUMMYFUNCTION("""COMPUTED_VALUE"""),342.33)</f>
        <v>342.33</v>
      </c>
      <c r="F116" s="2">
        <f>IFERROR(__xludf.DUMMYFUNCTION("""COMPUTED_VALUE"""),4.6551985E7)</f>
        <v>46551985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IFERROR(__xludf.DUMMYFUNCTION("""COMPUTED_VALUE"""),339.31)</f>
        <v>339.31</v>
      </c>
      <c r="C117" s="2">
        <f>IFERROR(__xludf.DUMMYFUNCTION("""COMPUTED_VALUE"""),342.08)</f>
        <v>342.08</v>
      </c>
      <c r="D117" s="2">
        <f>IFERROR(__xludf.DUMMYFUNCTION("""COMPUTED_VALUE"""),335.86)</f>
        <v>335.86</v>
      </c>
      <c r="E117" s="2">
        <f>IFERROR(__xludf.DUMMYFUNCTION("""COMPUTED_VALUE"""),338.05)</f>
        <v>338.05</v>
      </c>
      <c r="F117" s="2">
        <f>IFERROR(__xludf.DUMMYFUNCTION("""COMPUTED_VALUE"""),2.6375407E7)</f>
        <v>26375407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IFERROR(__xludf.DUMMYFUNCTION("""COMPUTED_VALUE"""),336.37)</f>
        <v>336.37</v>
      </c>
      <c r="C118" s="2">
        <f>IFERROR(__xludf.DUMMYFUNCTION("""COMPUTED_VALUE"""),337.73)</f>
        <v>337.73</v>
      </c>
      <c r="D118" s="2">
        <f>IFERROR(__xludf.DUMMYFUNCTION("""COMPUTED_VALUE"""),332.07)</f>
        <v>332.07</v>
      </c>
      <c r="E118" s="2">
        <f>IFERROR(__xludf.DUMMYFUNCTION("""COMPUTED_VALUE"""),333.56)</f>
        <v>333.56</v>
      </c>
      <c r="F118" s="2">
        <f>IFERROR(__xludf.DUMMYFUNCTION("""COMPUTED_VALUE"""),2.5117799E7)</f>
        <v>25117799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IFERROR(__xludf.DUMMYFUNCTION("""COMPUTED_VALUE"""),334.12)</f>
        <v>334.12</v>
      </c>
      <c r="C119" s="2">
        <f>IFERROR(__xludf.DUMMYFUNCTION("""COMPUTED_VALUE"""),340.12)</f>
        <v>340.12</v>
      </c>
      <c r="D119" s="2">
        <f>IFERROR(__xludf.DUMMYFUNCTION("""COMPUTED_VALUE"""),333.34)</f>
        <v>333.34</v>
      </c>
      <c r="E119" s="2">
        <f>IFERROR(__xludf.DUMMYFUNCTION("""COMPUTED_VALUE"""),339.71)</f>
        <v>339.71</v>
      </c>
      <c r="F119" s="2">
        <f>IFERROR(__xludf.DUMMYFUNCTION("""COMPUTED_VALUE"""),2.3556764E7)</f>
        <v>23556764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IFERROR(__xludf.DUMMYFUNCTION("""COMPUTED_VALUE"""),334.36)</f>
        <v>334.36</v>
      </c>
      <c r="C120" s="2">
        <f>IFERROR(__xludf.DUMMYFUNCTION("""COMPUTED_VALUE"""),337.96)</f>
        <v>337.96</v>
      </c>
      <c r="D120" s="2">
        <f>IFERROR(__xludf.DUMMYFUNCTION("""COMPUTED_VALUE"""),333.45)</f>
        <v>333.45</v>
      </c>
      <c r="E120" s="2">
        <f>IFERROR(__xludf.DUMMYFUNCTION("""COMPUTED_VALUE"""),335.02)</f>
        <v>335.02</v>
      </c>
      <c r="F120" s="2">
        <f>IFERROR(__xludf.DUMMYFUNCTION("""COMPUTED_VALUE"""),2.3146901E7)</f>
        <v>23146901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IFERROR(__xludf.DUMMYFUNCTION("""COMPUTED_VALUE"""),333.72)</f>
        <v>333.72</v>
      </c>
      <c r="C121" s="2">
        <f>IFERROR(__xludf.DUMMYFUNCTION("""COMPUTED_VALUE"""),336.11)</f>
        <v>336.11</v>
      </c>
      <c r="D121" s="2">
        <f>IFERROR(__xludf.DUMMYFUNCTION("""COMPUTED_VALUE"""),328.49)</f>
        <v>328.49</v>
      </c>
      <c r="E121" s="2">
        <f>IFERROR(__xludf.DUMMYFUNCTION("""COMPUTED_VALUE"""),328.6)</f>
        <v>328.6</v>
      </c>
      <c r="F121" s="2">
        <f>IFERROR(__xludf.DUMMYFUNCTION("""COMPUTED_VALUE"""),2.1520582E7)</f>
        <v>21520582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IFERROR(__xludf.DUMMYFUNCTION("""COMPUTED_VALUE"""),331.86)</f>
        <v>331.86</v>
      </c>
      <c r="C122" s="2">
        <f>IFERROR(__xludf.DUMMYFUNCTION("""COMPUTED_VALUE"""),336.15)</f>
        <v>336.15</v>
      </c>
      <c r="D122" s="2">
        <f>IFERROR(__xludf.DUMMYFUNCTION("""COMPUTED_VALUE"""),329.3)</f>
        <v>329.3</v>
      </c>
      <c r="E122" s="2">
        <f>IFERROR(__xludf.DUMMYFUNCTION("""COMPUTED_VALUE"""),334.57)</f>
        <v>334.57</v>
      </c>
      <c r="F122" s="2">
        <f>IFERROR(__xludf.DUMMYFUNCTION("""COMPUTED_VALUE"""),2.435411E7)</f>
        <v>24354110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IFERROR(__xludf.DUMMYFUNCTION("""COMPUTED_VALUE"""),334.66)</f>
        <v>334.66</v>
      </c>
      <c r="C123" s="2">
        <f>IFERROR(__xludf.DUMMYFUNCTION("""COMPUTED_VALUE"""),337.98)</f>
        <v>337.98</v>
      </c>
      <c r="D123" s="2">
        <f>IFERROR(__xludf.DUMMYFUNCTION("""COMPUTED_VALUE"""),333.81)</f>
        <v>333.81</v>
      </c>
      <c r="E123" s="2">
        <f>IFERROR(__xludf.DUMMYFUNCTION("""COMPUTED_VALUE"""),335.85)</f>
        <v>335.85</v>
      </c>
      <c r="F123" s="2">
        <f>IFERROR(__xludf.DUMMYFUNCTION("""COMPUTED_VALUE"""),2.0259523E7)</f>
        <v>20259523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IFERROR(__xludf.DUMMYFUNCTION("""COMPUTED_VALUE"""),334.71)</f>
        <v>334.71</v>
      </c>
      <c r="C124" s="2">
        <f>IFERROR(__xludf.DUMMYFUNCTION("""COMPUTED_VALUE"""),336.11)</f>
        <v>336.11</v>
      </c>
      <c r="D124" s="2">
        <f>IFERROR(__xludf.DUMMYFUNCTION("""COMPUTED_VALUE"""),332.62)</f>
        <v>332.62</v>
      </c>
      <c r="E124" s="2">
        <f>IFERROR(__xludf.DUMMYFUNCTION("""COMPUTED_VALUE"""),335.05)</f>
        <v>335.05</v>
      </c>
      <c r="F124" s="2">
        <f>IFERROR(__xludf.DUMMYFUNCTION("""COMPUTED_VALUE"""),1.6997042E7)</f>
        <v>16997042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IFERROR(__xludf.DUMMYFUNCTION("""COMPUTED_VALUE"""),337.75)</f>
        <v>337.75</v>
      </c>
      <c r="C125" s="2">
        <f>IFERROR(__xludf.DUMMYFUNCTION("""COMPUTED_VALUE"""),342.73)</f>
        <v>342.73</v>
      </c>
      <c r="D125" s="2">
        <f>IFERROR(__xludf.DUMMYFUNCTION("""COMPUTED_VALUE"""),337.2)</f>
        <v>337.2</v>
      </c>
      <c r="E125" s="2">
        <f>IFERROR(__xludf.DUMMYFUNCTION("""COMPUTED_VALUE"""),340.54)</f>
        <v>340.54</v>
      </c>
      <c r="F125" s="2">
        <f>IFERROR(__xludf.DUMMYFUNCTION("""COMPUTED_VALUE"""),2.6832756E7)</f>
        <v>26832756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IFERROR(__xludf.DUMMYFUNCTION("""COMPUTED_VALUE"""),339.19)</f>
        <v>339.19</v>
      </c>
      <c r="C126" s="2">
        <f>IFERROR(__xludf.DUMMYFUNCTION("""COMPUTED_VALUE"""),340.9)</f>
        <v>340.9</v>
      </c>
      <c r="D126" s="2">
        <f>IFERROR(__xludf.DUMMYFUNCTION("""COMPUTED_VALUE"""),336.57)</f>
        <v>336.57</v>
      </c>
      <c r="E126" s="2">
        <f>IFERROR(__xludf.DUMMYFUNCTION("""COMPUTED_VALUE"""),337.99)</f>
        <v>337.99</v>
      </c>
      <c r="F126" s="2">
        <f>IFERROR(__xludf.DUMMYFUNCTION("""COMPUTED_VALUE"""),1.2508692E7)</f>
        <v>12508692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IFERROR(__xludf.DUMMYFUNCTION("""COMPUTED_VALUE"""),335.09)</f>
        <v>335.09</v>
      </c>
      <c r="C127" s="2">
        <f>IFERROR(__xludf.DUMMYFUNCTION("""COMPUTED_VALUE"""),341.65)</f>
        <v>341.65</v>
      </c>
      <c r="D127" s="2">
        <f>IFERROR(__xludf.DUMMYFUNCTION("""COMPUTED_VALUE"""),334.73)</f>
        <v>334.73</v>
      </c>
      <c r="E127" s="2">
        <f>IFERROR(__xludf.DUMMYFUNCTION("""COMPUTED_VALUE"""),338.15)</f>
        <v>338.15</v>
      </c>
      <c r="F127" s="2">
        <f>IFERROR(__xludf.DUMMYFUNCTION("""COMPUTED_VALUE"""),1.8172378E7)</f>
        <v>18172378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IFERROR(__xludf.DUMMYFUNCTION("""COMPUTED_VALUE"""),337.3)</f>
        <v>337.3</v>
      </c>
      <c r="C128" s="2">
        <f>IFERROR(__xludf.DUMMYFUNCTION("""COMPUTED_VALUE"""),342.99)</f>
        <v>342.99</v>
      </c>
      <c r="D128" s="2">
        <f>IFERROR(__xludf.DUMMYFUNCTION("""COMPUTED_VALUE"""),335.5)</f>
        <v>335.5</v>
      </c>
      <c r="E128" s="2">
        <f>IFERROR(__xludf.DUMMYFUNCTION("""COMPUTED_VALUE"""),341.27)</f>
        <v>341.27</v>
      </c>
      <c r="F128" s="2">
        <f>IFERROR(__xludf.DUMMYFUNCTION("""COMPUTED_VALUE"""),2.8195534E7)</f>
        <v>28195534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IFERROR(__xludf.DUMMYFUNCTION("""COMPUTED_VALUE"""),339.32)</f>
        <v>339.32</v>
      </c>
      <c r="C129" s="2">
        <f>IFERROR(__xludf.DUMMYFUNCTION("""COMPUTED_VALUE"""),341.79)</f>
        <v>341.79</v>
      </c>
      <c r="D129" s="2">
        <f>IFERROR(__xludf.DUMMYFUNCTION("""COMPUTED_VALUE"""),337.0)</f>
        <v>337</v>
      </c>
      <c r="E129" s="2">
        <f>IFERROR(__xludf.DUMMYFUNCTION("""COMPUTED_VALUE"""),337.22)</f>
        <v>337.22</v>
      </c>
      <c r="F129" s="2">
        <f>IFERROR(__xludf.DUMMYFUNCTION("""COMPUTED_VALUE"""),2.1214824E7)</f>
        <v>21214824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IFERROR(__xludf.DUMMYFUNCTION("""COMPUTED_VALUE"""),334.6)</f>
        <v>334.6</v>
      </c>
      <c r="C130" s="2">
        <f>IFERROR(__xludf.DUMMYFUNCTION("""COMPUTED_VALUE"""),335.23)</f>
        <v>335.23</v>
      </c>
      <c r="D130" s="2">
        <f>IFERROR(__xludf.DUMMYFUNCTION("""COMPUTED_VALUE"""),327.59)</f>
        <v>327.59</v>
      </c>
      <c r="E130" s="2">
        <f>IFERROR(__xludf.DUMMYFUNCTION("""COMPUTED_VALUE"""),331.83)</f>
        <v>331.83</v>
      </c>
      <c r="F130" s="2">
        <f>IFERROR(__xludf.DUMMYFUNCTION("""COMPUTED_VALUE"""),3.2791449E7)</f>
        <v>32791449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IFERROR(__xludf.DUMMYFUNCTION("""COMPUTED_VALUE"""),331.06)</f>
        <v>331.06</v>
      </c>
      <c r="C131" s="2">
        <f>IFERROR(__xludf.DUMMYFUNCTION("""COMPUTED_VALUE"""),332.86)</f>
        <v>332.86</v>
      </c>
      <c r="D131" s="2">
        <f>IFERROR(__xludf.DUMMYFUNCTION("""COMPUTED_VALUE"""),327.0)</f>
        <v>327</v>
      </c>
      <c r="E131" s="2">
        <f>IFERROR(__xludf.DUMMYFUNCTION("""COMPUTED_VALUE"""),332.47)</f>
        <v>332.47</v>
      </c>
      <c r="F131" s="2">
        <f>IFERROR(__xludf.DUMMYFUNCTION("""COMPUTED_VALUE"""),2.6698218E7)</f>
        <v>26698218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IFERROR(__xludf.DUMMYFUNCTION("""COMPUTED_VALUE"""),336.6)</f>
        <v>336.6</v>
      </c>
      <c r="C132" s="2">
        <f>IFERROR(__xludf.DUMMYFUNCTION("""COMPUTED_VALUE"""),341.65)</f>
        <v>341.65</v>
      </c>
      <c r="D132" s="2">
        <f>IFERROR(__xludf.DUMMYFUNCTION("""COMPUTED_VALUE"""),335.67)</f>
        <v>335.67</v>
      </c>
      <c r="E132" s="2">
        <f>IFERROR(__xludf.DUMMYFUNCTION("""COMPUTED_VALUE"""),337.2)</f>
        <v>337.2</v>
      </c>
      <c r="F132" s="2">
        <f>IFERROR(__xludf.DUMMYFUNCTION("""COMPUTED_VALUE"""),2.9995262E7)</f>
        <v>29995262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IFERROR(__xludf.DUMMYFUNCTION("""COMPUTED_VALUE"""),339.56)</f>
        <v>339.56</v>
      </c>
      <c r="C133" s="2">
        <f>IFERROR(__xludf.DUMMYFUNCTION("""COMPUTED_VALUE"""),343.74)</f>
        <v>343.74</v>
      </c>
      <c r="D133" s="2">
        <f>IFERROR(__xludf.DUMMYFUNCTION("""COMPUTED_VALUE"""),339.02)</f>
        <v>339.02</v>
      </c>
      <c r="E133" s="2">
        <f>IFERROR(__xludf.DUMMYFUNCTION("""COMPUTED_VALUE"""),342.66)</f>
        <v>342.66</v>
      </c>
      <c r="F133" s="2">
        <f>IFERROR(__xludf.DUMMYFUNCTION("""COMPUTED_VALUE"""),2.0567159E7)</f>
        <v>20567159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IFERROR(__xludf.DUMMYFUNCTION("""COMPUTED_VALUE"""),347.59)</f>
        <v>347.59</v>
      </c>
      <c r="C134" s="2">
        <f>IFERROR(__xludf.DUMMYFUNCTION("""COMPUTED_VALUE"""),351.43)</f>
        <v>351.43</v>
      </c>
      <c r="D134" s="2">
        <f>IFERROR(__xludf.DUMMYFUNCTION("""COMPUTED_VALUE"""),344.31)</f>
        <v>344.31</v>
      </c>
      <c r="E134" s="2">
        <f>IFERROR(__xludf.DUMMYFUNCTION("""COMPUTED_VALUE"""),345.24)</f>
        <v>345.24</v>
      </c>
      <c r="F134" s="2">
        <f>IFERROR(__xludf.DUMMYFUNCTION("""COMPUTED_VALUE"""),2.8352729E7)</f>
        <v>28352729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IFERROR(__xludf.DUMMYFUNCTION("""COMPUTED_VALUE"""),345.68)</f>
        <v>345.68</v>
      </c>
      <c r="C135" s="2">
        <f>IFERROR(__xludf.DUMMYFUNCTION("""COMPUTED_VALUE"""),346.99)</f>
        <v>346.99</v>
      </c>
      <c r="D135" s="2">
        <f>IFERROR(__xludf.DUMMYFUNCTION("""COMPUTED_VALUE"""),342.2)</f>
        <v>342.2</v>
      </c>
      <c r="E135" s="2">
        <f>IFERROR(__xludf.DUMMYFUNCTION("""COMPUTED_VALUE"""),345.73)</f>
        <v>345.73</v>
      </c>
      <c r="F135" s="2">
        <f>IFERROR(__xludf.DUMMYFUNCTION("""COMPUTED_VALUE"""),2.0363927E7)</f>
        <v>20363927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IFERROR(__xludf.DUMMYFUNCTION("""COMPUTED_VALUE"""),345.83)</f>
        <v>345.83</v>
      </c>
      <c r="C136" s="2">
        <f>IFERROR(__xludf.DUMMYFUNCTION("""COMPUTED_VALUE"""),366.78)</f>
        <v>366.78</v>
      </c>
      <c r="D136" s="2">
        <f>IFERROR(__xludf.DUMMYFUNCTION("""COMPUTED_VALUE"""),342.17)</f>
        <v>342.17</v>
      </c>
      <c r="E136" s="2">
        <f>IFERROR(__xludf.DUMMYFUNCTION("""COMPUTED_VALUE"""),359.49)</f>
        <v>359.49</v>
      </c>
      <c r="F136" s="2">
        <f>IFERROR(__xludf.DUMMYFUNCTION("""COMPUTED_VALUE"""),6.4872705E7)</f>
        <v>64872705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IFERROR(__xludf.DUMMYFUNCTION("""COMPUTED_VALUE"""),361.75)</f>
        <v>361.75</v>
      </c>
      <c r="C137" s="2">
        <f>IFERROR(__xludf.DUMMYFUNCTION("""COMPUTED_VALUE"""),362.46)</f>
        <v>362.46</v>
      </c>
      <c r="D137" s="2">
        <f>IFERROR(__xludf.DUMMYFUNCTION("""COMPUTED_VALUE"""),352.44)</f>
        <v>352.44</v>
      </c>
      <c r="E137" s="2">
        <f>IFERROR(__xludf.DUMMYFUNCTION("""COMPUTED_VALUE"""),355.08)</f>
        <v>355.08</v>
      </c>
      <c r="F137" s="2">
        <f>IFERROR(__xludf.DUMMYFUNCTION("""COMPUTED_VALUE"""),3.9732901E7)</f>
        <v>39732901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IFERROR(__xludf.DUMMYFUNCTION("""COMPUTED_VALUE"""),353.57)</f>
        <v>353.57</v>
      </c>
      <c r="C138" s="2">
        <f>IFERROR(__xludf.DUMMYFUNCTION("""COMPUTED_VALUE"""),357.97)</f>
        <v>357.97</v>
      </c>
      <c r="D138" s="2">
        <f>IFERROR(__xludf.DUMMYFUNCTION("""COMPUTED_VALUE"""),345.37)</f>
        <v>345.37</v>
      </c>
      <c r="E138" s="2">
        <f>IFERROR(__xludf.DUMMYFUNCTION("""COMPUTED_VALUE"""),346.87)</f>
        <v>346.87</v>
      </c>
      <c r="F138" s="2">
        <f>IFERROR(__xludf.DUMMYFUNCTION("""COMPUTED_VALUE"""),3.3778395E7)</f>
        <v>33778395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IFERROR(__xludf.DUMMYFUNCTION("""COMPUTED_VALUE"""),349.15)</f>
        <v>349.15</v>
      </c>
      <c r="C139" s="2">
        <f>IFERROR(__xludf.DUMMYFUNCTION("""COMPUTED_VALUE"""),350.3)</f>
        <v>350.3</v>
      </c>
      <c r="D139" s="2">
        <f>IFERROR(__xludf.DUMMYFUNCTION("""COMPUTED_VALUE"""),339.83)</f>
        <v>339.83</v>
      </c>
      <c r="E139" s="2">
        <f>IFERROR(__xludf.DUMMYFUNCTION("""COMPUTED_VALUE"""),343.77)</f>
        <v>343.77</v>
      </c>
      <c r="F139" s="2">
        <f>IFERROR(__xludf.DUMMYFUNCTION("""COMPUTED_VALUE"""),6.9405382E7)</f>
        <v>69405382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IFERROR(__xludf.DUMMYFUNCTION("""COMPUTED_VALUE"""),345.85)</f>
        <v>345.85</v>
      </c>
      <c r="C140" s="2">
        <f>IFERROR(__xludf.DUMMYFUNCTION("""COMPUTED_VALUE"""),346.92)</f>
        <v>346.92</v>
      </c>
      <c r="D140" s="2">
        <f>IFERROR(__xludf.DUMMYFUNCTION("""COMPUTED_VALUE"""),342.31)</f>
        <v>342.31</v>
      </c>
      <c r="E140" s="2">
        <f>IFERROR(__xludf.DUMMYFUNCTION("""COMPUTED_VALUE"""),345.11)</f>
        <v>345.11</v>
      </c>
      <c r="F140" s="2">
        <f>IFERROR(__xludf.DUMMYFUNCTION("""COMPUTED_VALUE"""),2.6719207E7)</f>
        <v>26719207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IFERROR(__xludf.DUMMYFUNCTION("""COMPUTED_VALUE"""),347.11)</f>
        <v>347.11</v>
      </c>
      <c r="C141" s="2">
        <f>IFERROR(__xludf.DUMMYFUNCTION("""COMPUTED_VALUE"""),351.89)</f>
        <v>351.89</v>
      </c>
      <c r="D141" s="2">
        <f>IFERROR(__xludf.DUMMYFUNCTION("""COMPUTED_VALUE"""),345.07)</f>
        <v>345.07</v>
      </c>
      <c r="E141" s="2">
        <f>IFERROR(__xludf.DUMMYFUNCTION("""COMPUTED_VALUE"""),350.98)</f>
        <v>350.98</v>
      </c>
      <c r="F141" s="2">
        <f>IFERROR(__xludf.DUMMYFUNCTION("""COMPUTED_VALUE"""),4.1637739E7)</f>
        <v>41637739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IFERROR(__xludf.DUMMYFUNCTION("""COMPUTED_VALUE"""),341.44)</f>
        <v>341.44</v>
      </c>
      <c r="C142" s="2">
        <f>IFERROR(__xludf.DUMMYFUNCTION("""COMPUTED_VALUE"""),344.67)</f>
        <v>344.67</v>
      </c>
      <c r="D142" s="2">
        <f>IFERROR(__xludf.DUMMYFUNCTION("""COMPUTED_VALUE"""),333.11)</f>
        <v>333.11</v>
      </c>
      <c r="E142" s="2">
        <f>IFERROR(__xludf.DUMMYFUNCTION("""COMPUTED_VALUE"""),337.77)</f>
        <v>337.77</v>
      </c>
      <c r="F142" s="2">
        <f>IFERROR(__xludf.DUMMYFUNCTION("""COMPUTED_VALUE"""),5.8383702E7)</f>
        <v>58383702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IFERROR(__xludf.DUMMYFUNCTION("""COMPUTED_VALUE"""),340.48)</f>
        <v>340.48</v>
      </c>
      <c r="C143" s="2">
        <f>IFERROR(__xludf.DUMMYFUNCTION("""COMPUTED_VALUE"""),341.33)</f>
        <v>341.33</v>
      </c>
      <c r="D143" s="2">
        <f>IFERROR(__xludf.DUMMYFUNCTION("""COMPUTED_VALUE"""),329.05)</f>
        <v>329.05</v>
      </c>
      <c r="E143" s="2">
        <f>IFERROR(__xludf.DUMMYFUNCTION("""COMPUTED_VALUE"""),330.72)</f>
        <v>330.72</v>
      </c>
      <c r="F143" s="2">
        <f>IFERROR(__xludf.DUMMYFUNCTION("""COMPUTED_VALUE"""),3.9635262E7)</f>
        <v>39635262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IFERROR(__xludf.DUMMYFUNCTION("""COMPUTED_VALUE"""),333.67)</f>
        <v>333.67</v>
      </c>
      <c r="C144" s="2">
        <f>IFERROR(__xludf.DUMMYFUNCTION("""COMPUTED_VALUE"""),340.01)</f>
        <v>340.01</v>
      </c>
      <c r="D144" s="2">
        <f>IFERROR(__xludf.DUMMYFUNCTION("""COMPUTED_VALUE"""),333.17)</f>
        <v>333.17</v>
      </c>
      <c r="E144" s="2">
        <f>IFERROR(__xludf.DUMMYFUNCTION("""COMPUTED_VALUE"""),338.37)</f>
        <v>338.37</v>
      </c>
      <c r="F144" s="2">
        <f>IFERROR(__xludf.DUMMYFUNCTION("""COMPUTED_VALUE"""),2.8484868E7)</f>
        <v>28484868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IFERROR(__xludf.DUMMYFUNCTION("""COMPUTED_VALUE"""),336.92)</f>
        <v>336.92</v>
      </c>
      <c r="C145" s="2">
        <f>IFERROR(__xludf.DUMMYFUNCTION("""COMPUTED_VALUE"""),337.7)</f>
        <v>337.7</v>
      </c>
      <c r="D145" s="2">
        <f>IFERROR(__xludf.DUMMYFUNCTION("""COMPUTED_VALUE"""),333.36)</f>
        <v>333.36</v>
      </c>
      <c r="E145" s="2">
        <f>IFERROR(__xludf.DUMMYFUNCTION("""COMPUTED_VALUE"""),335.92)</f>
        <v>335.92</v>
      </c>
      <c r="F145" s="2">
        <f>IFERROR(__xludf.DUMMYFUNCTION("""COMPUTED_VALUE"""),2.5446022E7)</f>
        <v>25446022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IFERROR(__xludf.DUMMYFUNCTION("""COMPUTED_VALUE"""),335.19)</f>
        <v>335.19</v>
      </c>
      <c r="C146" s="2">
        <f>IFERROR(__xludf.DUMMYFUNCTION("""COMPUTED_VALUE"""),338.54)</f>
        <v>338.54</v>
      </c>
      <c r="D146" s="2">
        <f>IFERROR(__xludf.DUMMYFUNCTION("""COMPUTED_VALUE"""),333.7)</f>
        <v>333.7</v>
      </c>
      <c r="E146" s="2">
        <f>IFERROR(__xludf.DUMMYFUNCTION("""COMPUTED_VALUE"""),336.34)</f>
        <v>336.34</v>
      </c>
      <c r="F146" s="2">
        <f>IFERROR(__xludf.DUMMYFUNCTION("""COMPUTED_VALUE"""),1.8381253E7)</f>
        <v>18381253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IFERROR(__xludf.DUMMYFUNCTION("""COMPUTED_VALUE"""),333.63)</f>
        <v>333.63</v>
      </c>
      <c r="C147" s="2">
        <f>IFERROR(__xludf.DUMMYFUNCTION("""COMPUTED_VALUE"""),333.63)</f>
        <v>333.63</v>
      </c>
      <c r="D147" s="2">
        <f>IFERROR(__xludf.DUMMYFUNCTION("""COMPUTED_VALUE"""),326.36)</f>
        <v>326.36</v>
      </c>
      <c r="E147" s="2">
        <f>IFERROR(__xludf.DUMMYFUNCTION("""COMPUTED_VALUE"""),327.5)</f>
        <v>327.5</v>
      </c>
      <c r="F147" s="2">
        <f>IFERROR(__xludf.DUMMYFUNCTION("""COMPUTED_VALUE"""),2.7761257E7)</f>
        <v>27761257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IFERROR(__xludf.DUMMYFUNCTION("""COMPUTED_VALUE"""),326.0)</f>
        <v>326</v>
      </c>
      <c r="C148" s="2">
        <f>IFERROR(__xludf.DUMMYFUNCTION("""COMPUTED_VALUE"""),329.88)</f>
        <v>329.88</v>
      </c>
      <c r="D148" s="2">
        <f>IFERROR(__xludf.DUMMYFUNCTION("""COMPUTED_VALUE"""),325.95)</f>
        <v>325.95</v>
      </c>
      <c r="E148" s="2">
        <f>IFERROR(__xludf.DUMMYFUNCTION("""COMPUTED_VALUE"""),326.66)</f>
        <v>326.66</v>
      </c>
      <c r="F148" s="2">
        <f>IFERROR(__xludf.DUMMYFUNCTION("""COMPUTED_VALUE"""),1.8360352E7)</f>
        <v>18360352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IFERROR(__xludf.DUMMYFUNCTION("""COMPUTED_VALUE"""),331.88)</f>
        <v>331.88</v>
      </c>
      <c r="C149" s="2">
        <f>IFERROR(__xludf.DUMMYFUNCTION("""COMPUTED_VALUE"""),335.14)</f>
        <v>335.14</v>
      </c>
      <c r="D149" s="2">
        <f>IFERROR(__xludf.DUMMYFUNCTION("""COMPUTED_VALUE"""),327.24)</f>
        <v>327.24</v>
      </c>
      <c r="E149" s="2">
        <f>IFERROR(__xludf.DUMMYFUNCTION("""COMPUTED_VALUE"""),327.78)</f>
        <v>327.78</v>
      </c>
      <c r="F149" s="2">
        <f>IFERROR(__xludf.DUMMYFUNCTION("""COMPUTED_VALUE"""),2.3741484E7)</f>
        <v>23741484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IFERROR(__xludf.DUMMYFUNCTION("""COMPUTED_VALUE"""),328.37)</f>
        <v>328.37</v>
      </c>
      <c r="C150" s="2">
        <f>IFERROR(__xludf.DUMMYFUNCTION("""COMPUTED_VALUE"""),331.11)</f>
        <v>331.11</v>
      </c>
      <c r="D150" s="2">
        <f>IFERROR(__xludf.DUMMYFUNCTION("""COMPUTED_VALUE"""),327.52)</f>
        <v>327.52</v>
      </c>
      <c r="E150" s="2">
        <f>IFERROR(__xludf.DUMMYFUNCTION("""COMPUTED_VALUE"""),330.11)</f>
        <v>330.11</v>
      </c>
      <c r="F150" s="2">
        <f>IFERROR(__xludf.DUMMYFUNCTION("""COMPUTED_VALUE"""),1.7741526E7)</f>
        <v>17741526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IFERROR(__xludf.DUMMYFUNCTION("""COMPUTED_VALUE"""),326.96)</f>
        <v>326.96</v>
      </c>
      <c r="C151" s="2">
        <f>IFERROR(__xludf.DUMMYFUNCTION("""COMPUTED_VALUE"""),328.75)</f>
        <v>328.75</v>
      </c>
      <c r="D151" s="2">
        <f>IFERROR(__xludf.DUMMYFUNCTION("""COMPUTED_VALUE"""),323.0)</f>
        <v>323</v>
      </c>
      <c r="E151" s="2">
        <f>IFERROR(__xludf.DUMMYFUNCTION("""COMPUTED_VALUE"""),326.05)</f>
        <v>326.05</v>
      </c>
      <c r="F151" s="2">
        <f>IFERROR(__xludf.DUMMYFUNCTION("""COMPUTED_VALUE"""),2.2327574E7)</f>
        <v>22327574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IFERROR(__xludf.DUMMYFUNCTION("""COMPUTED_VALUE"""),326.47)</f>
        <v>326.47</v>
      </c>
      <c r="C152" s="2">
        <f>IFERROR(__xludf.DUMMYFUNCTION("""COMPUTED_VALUE"""),327.11)</f>
        <v>327.11</v>
      </c>
      <c r="D152" s="2">
        <f>IFERROR(__xludf.DUMMYFUNCTION("""COMPUTED_VALUE"""),321.05)</f>
        <v>321.05</v>
      </c>
      <c r="E152" s="2">
        <f>IFERROR(__xludf.DUMMYFUNCTION("""COMPUTED_VALUE"""),322.23)</f>
        <v>322.23</v>
      </c>
      <c r="F152" s="2">
        <f>IFERROR(__xludf.DUMMYFUNCTION("""COMPUTED_VALUE"""),2.2373268E7)</f>
        <v>22373268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IFERROR(__xludf.DUMMYFUNCTION("""COMPUTED_VALUE"""),326.02)</f>
        <v>326.02</v>
      </c>
      <c r="C153" s="2">
        <f>IFERROR(__xludf.DUMMYFUNCTION("""COMPUTED_VALUE"""),328.26)</f>
        <v>328.26</v>
      </c>
      <c r="D153" s="2">
        <f>IFERROR(__xludf.DUMMYFUNCTION("""COMPUTED_VALUE"""),321.18)</f>
        <v>321.18</v>
      </c>
      <c r="E153" s="2">
        <f>IFERROR(__xludf.DUMMYFUNCTION("""COMPUTED_VALUE"""),322.93)</f>
        <v>322.93</v>
      </c>
      <c r="F153" s="2">
        <f>IFERROR(__xludf.DUMMYFUNCTION("""COMPUTED_VALUE"""),2.0113725E7)</f>
        <v>20113725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IFERROR(__xludf.DUMMYFUNCTION("""COMPUTED_VALUE"""),320.26)</f>
        <v>320.26</v>
      </c>
      <c r="C154" s="2">
        <f>IFERROR(__xludf.DUMMYFUNCTION("""COMPUTED_VALUE"""),322.41)</f>
        <v>322.41</v>
      </c>
      <c r="D154" s="2">
        <f>IFERROR(__xludf.DUMMYFUNCTION("""COMPUTED_VALUE"""),319.21)</f>
        <v>319.21</v>
      </c>
      <c r="E154" s="2">
        <f>IFERROR(__xludf.DUMMYFUNCTION("""COMPUTED_VALUE"""),321.01)</f>
        <v>321.01</v>
      </c>
      <c r="F154" s="2">
        <f>IFERROR(__xludf.DUMMYFUNCTION("""COMPUTED_VALUE"""),2.4355491E7)</f>
        <v>24355491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IFERROR(__xludf.DUMMYFUNCTION("""COMPUTED_VALUE"""),321.39)</f>
        <v>321.39</v>
      </c>
      <c r="C155" s="2">
        <f>IFERROR(__xludf.DUMMYFUNCTION("""COMPUTED_VALUE"""),324.06)</f>
        <v>324.06</v>
      </c>
      <c r="D155" s="2">
        <f>IFERROR(__xludf.DUMMYFUNCTION("""COMPUTED_VALUE"""),320.08)</f>
        <v>320.08</v>
      </c>
      <c r="E155" s="2">
        <f>IFERROR(__xludf.DUMMYFUNCTION("""COMPUTED_VALUE"""),324.04)</f>
        <v>324.04</v>
      </c>
      <c r="F155" s="2">
        <f>IFERROR(__xludf.DUMMYFUNCTION("""COMPUTED_VALUE"""),1.8836139E7)</f>
        <v>18836139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IFERROR(__xludf.DUMMYFUNCTION("""COMPUTED_VALUE"""),323.0)</f>
        <v>323</v>
      </c>
      <c r="C156" s="2">
        <f>IFERROR(__xludf.DUMMYFUNCTION("""COMPUTED_VALUE"""),325.09)</f>
        <v>325.09</v>
      </c>
      <c r="D156" s="2">
        <f>IFERROR(__xludf.DUMMYFUNCTION("""COMPUTED_VALUE"""),320.9)</f>
        <v>320.9</v>
      </c>
      <c r="E156" s="2">
        <f>IFERROR(__xludf.DUMMYFUNCTION("""COMPUTED_VALUE"""),321.86)</f>
        <v>321.86</v>
      </c>
      <c r="F156" s="2">
        <f>IFERROR(__xludf.DUMMYFUNCTION("""COMPUTED_VALUE"""),1.6966285E7)</f>
        <v>16966285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IFERROR(__xludf.DUMMYFUNCTION("""COMPUTED_VALUE"""),320.8)</f>
        <v>320.8</v>
      </c>
      <c r="C157" s="2">
        <f>IFERROR(__xludf.DUMMYFUNCTION("""COMPUTED_VALUE"""),324.42)</f>
        <v>324.42</v>
      </c>
      <c r="D157" s="2">
        <f>IFERROR(__xludf.DUMMYFUNCTION("""COMPUTED_VALUE"""),319.8)</f>
        <v>319.8</v>
      </c>
      <c r="E157" s="2">
        <f>IFERROR(__xludf.DUMMYFUNCTION("""COMPUTED_VALUE"""),320.4)</f>
        <v>320.4</v>
      </c>
      <c r="F157" s="2">
        <f>IFERROR(__xludf.DUMMYFUNCTION("""COMPUTED_VALUE"""),2.0698864E7)</f>
        <v>20698864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IFERROR(__xludf.DUMMYFUNCTION("""COMPUTED_VALUE"""),320.54)</f>
        <v>320.54</v>
      </c>
      <c r="C158" s="2">
        <f>IFERROR(__xludf.DUMMYFUNCTION("""COMPUTED_VALUE"""),321.87)</f>
        <v>321.87</v>
      </c>
      <c r="D158" s="2">
        <f>IFERROR(__xludf.DUMMYFUNCTION("""COMPUTED_VALUE"""),316.21)</f>
        <v>316.21</v>
      </c>
      <c r="E158" s="2">
        <f>IFERROR(__xludf.DUMMYFUNCTION("""COMPUTED_VALUE"""),316.88)</f>
        <v>316.88</v>
      </c>
      <c r="F158" s="2">
        <f>IFERROR(__xludf.DUMMYFUNCTION("""COMPUTED_VALUE"""),2.1257161E7)</f>
        <v>21257161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IFERROR(__xludf.DUMMYFUNCTION("""COMPUTED_VALUE"""),314.49)</f>
        <v>314.49</v>
      </c>
      <c r="C159" s="2">
        <f>IFERROR(__xludf.DUMMYFUNCTION("""COMPUTED_VALUE"""),318.38)</f>
        <v>318.38</v>
      </c>
      <c r="D159" s="2">
        <f>IFERROR(__xludf.DUMMYFUNCTION("""COMPUTED_VALUE"""),311.55)</f>
        <v>311.55</v>
      </c>
      <c r="E159" s="2">
        <f>IFERROR(__xludf.DUMMYFUNCTION("""COMPUTED_VALUE"""),316.48)</f>
        <v>316.48</v>
      </c>
      <c r="F159" s="2">
        <f>IFERROR(__xludf.DUMMYFUNCTION("""COMPUTED_VALUE"""),2.4755012E7)</f>
        <v>24755012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IFERROR(__xludf.DUMMYFUNCTION("""COMPUTED_VALUE"""),317.93)</f>
        <v>317.93</v>
      </c>
      <c r="C160" s="2">
        <f>IFERROR(__xludf.DUMMYFUNCTION("""COMPUTED_VALUE"""),322.77)</f>
        <v>322.77</v>
      </c>
      <c r="D160" s="2">
        <f>IFERROR(__xludf.DUMMYFUNCTION("""COMPUTED_VALUE"""),317.04)</f>
        <v>317.04</v>
      </c>
      <c r="E160" s="2">
        <f>IFERROR(__xludf.DUMMYFUNCTION("""COMPUTED_VALUE"""),321.88)</f>
        <v>321.88</v>
      </c>
      <c r="F160" s="2">
        <f>IFERROR(__xludf.DUMMYFUNCTION("""COMPUTED_VALUE"""),2.4039956E7)</f>
        <v>24039956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IFERROR(__xludf.DUMMYFUNCTION("""COMPUTED_VALUE"""),325.5)</f>
        <v>325.5</v>
      </c>
      <c r="C161" s="2">
        <f>IFERROR(__xludf.DUMMYFUNCTION("""COMPUTED_VALUE"""),326.08)</f>
        <v>326.08</v>
      </c>
      <c r="D161" s="2">
        <f>IFERROR(__xludf.DUMMYFUNCTION("""COMPUTED_VALUE"""),321.46)</f>
        <v>321.46</v>
      </c>
      <c r="E161" s="2">
        <f>IFERROR(__xludf.DUMMYFUNCTION("""COMPUTED_VALUE"""),322.46)</f>
        <v>322.46</v>
      </c>
      <c r="F161" s="2">
        <f>IFERROR(__xludf.DUMMYFUNCTION("""COMPUTED_VALUE"""),1.6102024E7)</f>
        <v>16102024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IFERROR(__xludf.DUMMYFUNCTION("""COMPUTED_VALUE"""),323.82)</f>
        <v>323.82</v>
      </c>
      <c r="C162" s="2">
        <f>IFERROR(__xludf.DUMMYFUNCTION("""COMPUTED_VALUE"""),329.2)</f>
        <v>329.2</v>
      </c>
      <c r="D162" s="2">
        <f>IFERROR(__xludf.DUMMYFUNCTION("""COMPUTED_VALUE"""),323.46)</f>
        <v>323.46</v>
      </c>
      <c r="E162" s="2">
        <f>IFERROR(__xludf.DUMMYFUNCTION("""COMPUTED_VALUE"""),327.0)</f>
        <v>327</v>
      </c>
      <c r="F162" s="2">
        <f>IFERROR(__xludf.DUMMYFUNCTION("""COMPUTED_VALUE"""),2.1166382E7)</f>
        <v>21166382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IFERROR(__xludf.DUMMYFUNCTION("""COMPUTED_VALUE"""),332.85)</f>
        <v>332.85</v>
      </c>
      <c r="C163" s="2">
        <f>IFERROR(__xludf.DUMMYFUNCTION("""COMPUTED_VALUE"""),332.98)</f>
        <v>332.98</v>
      </c>
      <c r="D163" s="2">
        <f>IFERROR(__xludf.DUMMYFUNCTION("""COMPUTED_VALUE"""),319.96)</f>
        <v>319.96</v>
      </c>
      <c r="E163" s="2">
        <f>IFERROR(__xludf.DUMMYFUNCTION("""COMPUTED_VALUE"""),319.97)</f>
        <v>319.97</v>
      </c>
      <c r="F163" s="2">
        <f>IFERROR(__xludf.DUMMYFUNCTION("""COMPUTED_VALUE"""),2.3281434E7)</f>
        <v>23281434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IFERROR(__xludf.DUMMYFUNCTION("""COMPUTED_VALUE"""),321.47)</f>
        <v>321.47</v>
      </c>
      <c r="C164" s="2">
        <f>IFERROR(__xludf.DUMMYFUNCTION("""COMPUTED_VALUE"""),325.36)</f>
        <v>325.36</v>
      </c>
      <c r="D164" s="2">
        <f>IFERROR(__xludf.DUMMYFUNCTION("""COMPUTED_VALUE"""),318.8)</f>
        <v>318.8</v>
      </c>
      <c r="E164" s="2">
        <f>IFERROR(__xludf.DUMMYFUNCTION("""COMPUTED_VALUE"""),322.98)</f>
        <v>322.98</v>
      </c>
      <c r="F164" s="2">
        <f>IFERROR(__xludf.DUMMYFUNCTION("""COMPUTED_VALUE"""),2.1684104E7)</f>
        <v>21684104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IFERROR(__xludf.DUMMYFUNCTION("""COMPUTED_VALUE"""),325.66)</f>
        <v>325.66</v>
      </c>
      <c r="C165" s="2">
        <f>IFERROR(__xludf.DUMMYFUNCTION("""COMPUTED_VALUE"""),326.15)</f>
        <v>326.15</v>
      </c>
      <c r="D165" s="2">
        <f>IFERROR(__xludf.DUMMYFUNCTION("""COMPUTED_VALUE"""),321.72)</f>
        <v>321.72</v>
      </c>
      <c r="E165" s="2">
        <f>IFERROR(__xludf.DUMMYFUNCTION("""COMPUTED_VALUE"""),323.7)</f>
        <v>323.7</v>
      </c>
      <c r="F165" s="2">
        <f>IFERROR(__xludf.DUMMYFUNCTION("""COMPUTED_VALUE"""),1.4808482E7)</f>
        <v>14808482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IFERROR(__xludf.DUMMYFUNCTION("""COMPUTED_VALUE"""),321.88)</f>
        <v>321.88</v>
      </c>
      <c r="C166" s="2">
        <f>IFERROR(__xludf.DUMMYFUNCTION("""COMPUTED_VALUE"""),328.98)</f>
        <v>328.98</v>
      </c>
      <c r="D166" s="2">
        <f>IFERROR(__xludf.DUMMYFUNCTION("""COMPUTED_VALUE"""),321.88)</f>
        <v>321.88</v>
      </c>
      <c r="E166" s="2">
        <f>IFERROR(__xludf.DUMMYFUNCTION("""COMPUTED_VALUE"""),328.41)</f>
        <v>328.41</v>
      </c>
      <c r="F166" s="2">
        <f>IFERROR(__xludf.DUMMYFUNCTION("""COMPUTED_VALUE"""),1.928459E7)</f>
        <v>19284590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IFERROR(__xludf.DUMMYFUNCTION("""COMPUTED_VALUE"""),328.67)</f>
        <v>328.67</v>
      </c>
      <c r="C167" s="2">
        <f>IFERROR(__xludf.DUMMYFUNCTION("""COMPUTED_VALUE"""),329.81)</f>
        <v>329.81</v>
      </c>
      <c r="D167" s="2">
        <f>IFERROR(__xludf.DUMMYFUNCTION("""COMPUTED_VALUE"""),326.45)</f>
        <v>326.45</v>
      </c>
      <c r="E167" s="2">
        <f>IFERROR(__xludf.DUMMYFUNCTION("""COMPUTED_VALUE"""),328.79)</f>
        <v>328.79</v>
      </c>
      <c r="F167" s="2">
        <f>IFERROR(__xludf.DUMMYFUNCTION("""COMPUTED_VALUE"""),1.522211E7)</f>
        <v>15222110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IFERROR(__xludf.DUMMYFUNCTION("""COMPUTED_VALUE"""),329.2)</f>
        <v>329.2</v>
      </c>
      <c r="C168" s="2">
        <f>IFERROR(__xludf.DUMMYFUNCTION("""COMPUTED_VALUE"""),330.91)</f>
        <v>330.91</v>
      </c>
      <c r="D168" s="2">
        <f>IFERROR(__xludf.DUMMYFUNCTION("""COMPUTED_VALUE"""),326.78)</f>
        <v>326.78</v>
      </c>
      <c r="E168" s="2">
        <f>IFERROR(__xludf.DUMMYFUNCTION("""COMPUTED_VALUE"""),327.76)</f>
        <v>327.76</v>
      </c>
      <c r="F168" s="2">
        <f>IFERROR(__xludf.DUMMYFUNCTION("""COMPUTED_VALUE"""),2.6410954E7)</f>
        <v>26410954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IFERROR(__xludf.DUMMYFUNCTION("""COMPUTED_VALUE"""),331.31)</f>
        <v>331.31</v>
      </c>
      <c r="C169" s="2">
        <f>IFERROR(__xludf.DUMMYFUNCTION("""COMPUTED_VALUE"""),331.99)</f>
        <v>331.99</v>
      </c>
      <c r="D169" s="2">
        <f>IFERROR(__xludf.DUMMYFUNCTION("""COMPUTED_VALUE"""),326.78)</f>
        <v>326.78</v>
      </c>
      <c r="E169" s="2">
        <f>IFERROR(__xludf.DUMMYFUNCTION("""COMPUTED_VALUE"""),328.66)</f>
        <v>328.66</v>
      </c>
      <c r="F169" s="2">
        <f>IFERROR(__xludf.DUMMYFUNCTION("""COMPUTED_VALUE"""),1.4942024E7)</f>
        <v>14942024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IFERROR(__xludf.DUMMYFUNCTION("""COMPUTED_VALUE"""),329.0)</f>
        <v>329</v>
      </c>
      <c r="C170" s="2">
        <f>IFERROR(__xludf.DUMMYFUNCTION("""COMPUTED_VALUE"""),334.85)</f>
        <v>334.85</v>
      </c>
      <c r="D170" s="2">
        <f>IFERROR(__xludf.DUMMYFUNCTION("""COMPUTED_VALUE"""),328.66)</f>
        <v>328.66</v>
      </c>
      <c r="E170" s="2">
        <f>IFERROR(__xludf.DUMMYFUNCTION("""COMPUTED_VALUE"""),333.55)</f>
        <v>333.55</v>
      </c>
      <c r="F170" s="2">
        <f>IFERROR(__xludf.DUMMYFUNCTION("""COMPUTED_VALUE"""),1.8553859E7)</f>
        <v>18553859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IFERROR(__xludf.DUMMYFUNCTION("""COMPUTED_VALUE"""),333.38)</f>
        <v>333.38</v>
      </c>
      <c r="C171" s="2">
        <f>IFERROR(__xludf.DUMMYFUNCTION("""COMPUTED_VALUE"""),334.46)</f>
        <v>334.46</v>
      </c>
      <c r="D171" s="2">
        <f>IFERROR(__xludf.DUMMYFUNCTION("""COMPUTED_VALUE"""),330.18)</f>
        <v>330.18</v>
      </c>
      <c r="E171" s="2">
        <f>IFERROR(__xludf.DUMMYFUNCTION("""COMPUTED_VALUE"""),332.88)</f>
        <v>332.88</v>
      </c>
      <c r="F171" s="2">
        <f>IFERROR(__xludf.DUMMYFUNCTION("""COMPUTED_VALUE"""),1.7535773E7)</f>
        <v>17535773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IFERROR(__xludf.DUMMYFUNCTION("""COMPUTED_VALUE"""),331.29)</f>
        <v>331.29</v>
      </c>
      <c r="C172" s="2">
        <f>IFERROR(__xludf.DUMMYFUNCTION("""COMPUTED_VALUE"""),333.08)</f>
        <v>333.08</v>
      </c>
      <c r="D172" s="2">
        <f>IFERROR(__xludf.DUMMYFUNCTION("""COMPUTED_VALUE"""),329.03)</f>
        <v>329.03</v>
      </c>
      <c r="E172" s="2">
        <f>IFERROR(__xludf.DUMMYFUNCTION("""COMPUTED_VALUE"""),329.91)</f>
        <v>329.91</v>
      </c>
      <c r="F172" s="2">
        <f>IFERROR(__xludf.DUMMYFUNCTION("""COMPUTED_VALUE"""),1.8380995E7)</f>
        <v>18380995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IFERROR(__xludf.DUMMYFUNCTION("""COMPUTED_VALUE"""),330.09)</f>
        <v>330.09</v>
      </c>
      <c r="C173" s="2">
        <f>IFERROR(__xludf.DUMMYFUNCTION("""COMPUTED_VALUE"""),336.16)</f>
        <v>336.16</v>
      </c>
      <c r="D173" s="2">
        <f>IFERROR(__xludf.DUMMYFUNCTION("""COMPUTED_VALUE"""),329.46)</f>
        <v>329.46</v>
      </c>
      <c r="E173" s="2">
        <f>IFERROR(__xludf.DUMMYFUNCTION("""COMPUTED_VALUE"""),334.27)</f>
        <v>334.27</v>
      </c>
      <c r="F173" s="2">
        <f>IFERROR(__xludf.DUMMYFUNCTION("""COMPUTED_VALUE"""),1.9548165E7)</f>
        <v>19548165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IFERROR(__xludf.DUMMYFUNCTION("""COMPUTED_VALUE"""),337.24)</f>
        <v>337.24</v>
      </c>
      <c r="C174" s="2">
        <f>IFERROR(__xludf.DUMMYFUNCTION("""COMPUTED_VALUE"""),338.42)</f>
        <v>338.42</v>
      </c>
      <c r="D174" s="2">
        <f>IFERROR(__xludf.DUMMYFUNCTION("""COMPUTED_VALUE"""),335.43)</f>
        <v>335.43</v>
      </c>
      <c r="E174" s="2">
        <f>IFERROR(__xludf.DUMMYFUNCTION("""COMPUTED_VALUE"""),337.94)</f>
        <v>337.94</v>
      </c>
      <c r="F174" s="2">
        <f>IFERROR(__xludf.DUMMYFUNCTION("""COMPUTED_VALUE"""),1.6583324E7)</f>
        <v>16583324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IFERROR(__xludf.DUMMYFUNCTION("""COMPUTED_VALUE"""),335.82)</f>
        <v>335.82</v>
      </c>
      <c r="C175" s="2">
        <f>IFERROR(__xludf.DUMMYFUNCTION("""COMPUTED_VALUE"""),336.79)</f>
        <v>336.79</v>
      </c>
      <c r="D175" s="2">
        <f>IFERROR(__xludf.DUMMYFUNCTION("""COMPUTED_VALUE"""),331.48)</f>
        <v>331.48</v>
      </c>
      <c r="E175" s="2">
        <f>IFERROR(__xludf.DUMMYFUNCTION("""COMPUTED_VALUE"""),331.77)</f>
        <v>331.77</v>
      </c>
      <c r="F175" s="2">
        <f>IFERROR(__xludf.DUMMYFUNCTION("""COMPUTED_VALUE"""),1.7565482E7)</f>
        <v>17565482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IFERROR(__xludf.DUMMYFUNCTION("""COMPUTED_VALUE"""),331.31)</f>
        <v>331.31</v>
      </c>
      <c r="C176" s="2">
        <f>IFERROR(__xludf.DUMMYFUNCTION("""COMPUTED_VALUE"""),336.85)</f>
        <v>336.85</v>
      </c>
      <c r="D176" s="2">
        <f>IFERROR(__xludf.DUMMYFUNCTION("""COMPUTED_VALUE"""),331.17)</f>
        <v>331.17</v>
      </c>
      <c r="E176" s="2">
        <f>IFERROR(__xludf.DUMMYFUNCTION("""COMPUTED_VALUE"""),336.06)</f>
        <v>336.06</v>
      </c>
      <c r="F176" s="2">
        <f>IFERROR(__xludf.DUMMYFUNCTION("""COMPUTED_VALUE"""),1.6544412E7)</f>
        <v>16544412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IFERROR(__xludf.DUMMYFUNCTION("""COMPUTED_VALUE"""),339.15)</f>
        <v>339.15</v>
      </c>
      <c r="C177" s="2">
        <f>IFERROR(__xludf.DUMMYFUNCTION("""COMPUTED_VALUE"""),340.86)</f>
        <v>340.86</v>
      </c>
      <c r="D177" s="2">
        <f>IFERROR(__xludf.DUMMYFUNCTION("""COMPUTED_VALUE"""),336.57)</f>
        <v>336.57</v>
      </c>
      <c r="E177" s="2">
        <f>IFERROR(__xludf.DUMMYFUNCTION("""COMPUTED_VALUE"""),338.7)</f>
        <v>338.7</v>
      </c>
      <c r="F177" s="2">
        <f>IFERROR(__xludf.DUMMYFUNCTION("""COMPUTED_VALUE"""),2.0267048E7)</f>
        <v>20267048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IFERROR(__xludf.DUMMYFUNCTION("""COMPUTED_VALUE"""),336.92)</f>
        <v>336.92</v>
      </c>
      <c r="C178" s="2">
        <f>IFERROR(__xludf.DUMMYFUNCTION("""COMPUTED_VALUE"""),337.4)</f>
        <v>337.4</v>
      </c>
      <c r="D178" s="2">
        <f>IFERROR(__xludf.DUMMYFUNCTION("""COMPUTED_VALUE"""),329.65)</f>
        <v>329.65</v>
      </c>
      <c r="E178" s="2">
        <f>IFERROR(__xludf.DUMMYFUNCTION("""COMPUTED_VALUE"""),330.22)</f>
        <v>330.22</v>
      </c>
      <c r="F178" s="2">
        <f>IFERROR(__xludf.DUMMYFUNCTION("""COMPUTED_VALUE"""),3.7679792E7)</f>
        <v>37679792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IFERROR(__xludf.DUMMYFUNCTION("""COMPUTED_VALUE"""),327.8)</f>
        <v>327.8</v>
      </c>
      <c r="C179" s="2">
        <f>IFERROR(__xludf.DUMMYFUNCTION("""COMPUTED_VALUE"""),330.4)</f>
        <v>330.4</v>
      </c>
      <c r="D179" s="2">
        <f>IFERROR(__xludf.DUMMYFUNCTION("""COMPUTED_VALUE"""),326.36)</f>
        <v>326.36</v>
      </c>
      <c r="E179" s="2">
        <f>IFERROR(__xludf.DUMMYFUNCTION("""COMPUTED_VALUE"""),329.06)</f>
        <v>329.06</v>
      </c>
      <c r="F179" s="2">
        <f>IFERROR(__xludf.DUMMYFUNCTION("""COMPUTED_VALUE"""),1.6834208E7)</f>
        <v>16834208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IFERROR(__xludf.DUMMYFUNCTION("""COMPUTED_VALUE"""),326.17)</f>
        <v>326.17</v>
      </c>
      <c r="C180" s="2">
        <f>IFERROR(__xludf.DUMMYFUNCTION("""COMPUTED_VALUE"""),329.39)</f>
        <v>329.39</v>
      </c>
      <c r="D180" s="2">
        <f>IFERROR(__xludf.DUMMYFUNCTION("""COMPUTED_VALUE"""),324.51)</f>
        <v>324.51</v>
      </c>
      <c r="E180" s="2">
        <f>IFERROR(__xludf.DUMMYFUNCTION("""COMPUTED_VALUE"""),328.65)</f>
        <v>328.65</v>
      </c>
      <c r="F180" s="2">
        <f>IFERROR(__xludf.DUMMYFUNCTION("""COMPUTED_VALUE"""),1.6514487E7)</f>
        <v>16514487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IFERROR(__xludf.DUMMYFUNCTION("""COMPUTED_VALUE"""),329.51)</f>
        <v>329.51</v>
      </c>
      <c r="C181" s="2">
        <f>IFERROR(__xludf.DUMMYFUNCTION("""COMPUTED_VALUE"""),329.59)</f>
        <v>329.59</v>
      </c>
      <c r="D181" s="2">
        <f>IFERROR(__xludf.DUMMYFUNCTION("""COMPUTED_VALUE"""),320.51)</f>
        <v>320.51</v>
      </c>
      <c r="E181" s="2">
        <f>IFERROR(__xludf.DUMMYFUNCTION("""COMPUTED_VALUE"""),320.77)</f>
        <v>320.77</v>
      </c>
      <c r="F181" s="2">
        <f>IFERROR(__xludf.DUMMYFUNCTION("""COMPUTED_VALUE"""),2.1436525E7)</f>
        <v>21436525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IFERROR(__xludf.DUMMYFUNCTION("""COMPUTED_VALUE"""),319.26)</f>
        <v>319.26</v>
      </c>
      <c r="C182" s="2">
        <f>IFERROR(__xludf.DUMMYFUNCTION("""COMPUTED_VALUE"""),325.35)</f>
        <v>325.35</v>
      </c>
      <c r="D182" s="2">
        <f>IFERROR(__xludf.DUMMYFUNCTION("""COMPUTED_VALUE"""),315.0)</f>
        <v>315</v>
      </c>
      <c r="E182" s="2">
        <f>IFERROR(__xludf.DUMMYFUNCTION("""COMPUTED_VALUE"""),319.53)</f>
        <v>319.53</v>
      </c>
      <c r="F182" s="2">
        <f>IFERROR(__xludf.DUMMYFUNCTION("""COMPUTED_VALUE"""),3.5560362E7)</f>
        <v>35560362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IFERROR(__xludf.DUMMYFUNCTION("""COMPUTED_VALUE"""),321.32)</f>
        <v>321.32</v>
      </c>
      <c r="C183" s="2">
        <f>IFERROR(__xludf.DUMMYFUNCTION("""COMPUTED_VALUE"""),321.45)</f>
        <v>321.45</v>
      </c>
      <c r="D183" s="2">
        <f>IFERROR(__xludf.DUMMYFUNCTION("""COMPUTED_VALUE"""),316.15)</f>
        <v>316.15</v>
      </c>
      <c r="E183" s="2">
        <f>IFERROR(__xludf.DUMMYFUNCTION("""COMPUTED_VALUE"""),317.01)</f>
        <v>317.01</v>
      </c>
      <c r="F183" s="2">
        <f>IFERROR(__xludf.DUMMYFUNCTION("""COMPUTED_VALUE"""),2.1447887E7)</f>
        <v>21447887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IFERROR(__xludf.DUMMYFUNCTION("""COMPUTED_VALUE"""),316.59)</f>
        <v>316.59</v>
      </c>
      <c r="C184" s="2">
        <f>IFERROR(__xludf.DUMMYFUNCTION("""COMPUTED_VALUE"""),317.67)</f>
        <v>317.67</v>
      </c>
      <c r="D184" s="2">
        <f>IFERROR(__xludf.DUMMYFUNCTION("""COMPUTED_VALUE"""),315.0)</f>
        <v>315</v>
      </c>
      <c r="E184" s="2">
        <f>IFERROR(__xludf.DUMMYFUNCTION("""COMPUTED_VALUE"""),317.54)</f>
        <v>317.54</v>
      </c>
      <c r="F184" s="2">
        <f>IFERROR(__xludf.DUMMYFUNCTION("""COMPUTED_VALUE"""),1.7835964E7)</f>
        <v>17835964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IFERROR(__xludf.DUMMYFUNCTION("""COMPUTED_VALUE"""),315.13)</f>
        <v>315.13</v>
      </c>
      <c r="C185" s="2">
        <f>IFERROR(__xludf.DUMMYFUNCTION("""COMPUTED_VALUE"""),315.88)</f>
        <v>315.88</v>
      </c>
      <c r="D185" s="2">
        <f>IFERROR(__xludf.DUMMYFUNCTION("""COMPUTED_VALUE"""),310.02)</f>
        <v>310.02</v>
      </c>
      <c r="E185" s="2">
        <f>IFERROR(__xludf.DUMMYFUNCTION("""COMPUTED_VALUE"""),312.14)</f>
        <v>312.14</v>
      </c>
      <c r="F185" s="2">
        <f>IFERROR(__xludf.DUMMYFUNCTION("""COMPUTED_VALUE"""),2.6297573E7)</f>
        <v>26297573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IFERROR(__xludf.DUMMYFUNCTION("""COMPUTED_VALUE"""),312.3)</f>
        <v>312.3</v>
      </c>
      <c r="C186" s="2">
        <f>IFERROR(__xludf.DUMMYFUNCTION("""COMPUTED_VALUE"""),314.3)</f>
        <v>314.3</v>
      </c>
      <c r="D186" s="2">
        <f>IFERROR(__xludf.DUMMYFUNCTION("""COMPUTED_VALUE"""),309.69)</f>
        <v>309.69</v>
      </c>
      <c r="E186" s="2">
        <f>IFERROR(__xludf.DUMMYFUNCTION("""COMPUTED_VALUE"""),312.79)</f>
        <v>312.79</v>
      </c>
      <c r="F186" s="2">
        <f>IFERROR(__xludf.DUMMYFUNCTION("""COMPUTED_VALUE"""),1.9410082E7)</f>
        <v>19410082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IFERROR(__xludf.DUMMYFUNCTION("""COMPUTED_VALUE"""),310.99)</f>
        <v>310.99</v>
      </c>
      <c r="C187" s="2">
        <f>IFERROR(__xludf.DUMMYFUNCTION("""COMPUTED_VALUE"""),315.48)</f>
        <v>315.48</v>
      </c>
      <c r="D187" s="2">
        <f>IFERROR(__xludf.DUMMYFUNCTION("""COMPUTED_VALUE"""),309.45)</f>
        <v>309.45</v>
      </c>
      <c r="E187" s="2">
        <f>IFERROR(__xludf.DUMMYFUNCTION("""COMPUTED_VALUE"""),313.64)</f>
        <v>313.64</v>
      </c>
      <c r="F187" s="2">
        <f>IFERROR(__xludf.DUMMYFUNCTION("""COMPUTED_VALUE"""),1.9683564E7)</f>
        <v>19683564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IFERROR(__xludf.DUMMYFUNCTION("""COMPUTED_VALUE"""),317.75)</f>
        <v>317.75</v>
      </c>
      <c r="C188" s="2">
        <f>IFERROR(__xludf.DUMMYFUNCTION("""COMPUTED_VALUE"""),319.47)</f>
        <v>319.47</v>
      </c>
      <c r="D188" s="2">
        <f>IFERROR(__xludf.DUMMYFUNCTION("""COMPUTED_VALUE"""),314.98)</f>
        <v>314.98</v>
      </c>
      <c r="E188" s="2">
        <f>IFERROR(__xludf.DUMMYFUNCTION("""COMPUTED_VALUE"""),315.75)</f>
        <v>315.75</v>
      </c>
      <c r="F188" s="2">
        <f>IFERROR(__xludf.DUMMYFUNCTION("""COMPUTED_VALUE"""),2.4147298E7)</f>
        <v>24147298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IFERROR(__xludf.DUMMYFUNCTION("""COMPUTED_VALUE"""),316.28)</f>
        <v>316.28</v>
      </c>
      <c r="C189" s="2">
        <f>IFERROR(__xludf.DUMMYFUNCTION("""COMPUTED_VALUE"""),321.89)</f>
        <v>321.89</v>
      </c>
      <c r="D189" s="2">
        <f>IFERROR(__xludf.DUMMYFUNCTION("""COMPUTED_VALUE"""),315.18)</f>
        <v>315.18</v>
      </c>
      <c r="E189" s="2">
        <f>IFERROR(__xludf.DUMMYFUNCTION("""COMPUTED_VALUE"""),321.8)</f>
        <v>321.8</v>
      </c>
      <c r="F189" s="2">
        <f>IFERROR(__xludf.DUMMYFUNCTION("""COMPUTED_VALUE"""),2.0570006E7)</f>
        <v>20570006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IFERROR(__xludf.DUMMYFUNCTION("""COMPUTED_VALUE"""),320.83)</f>
        <v>320.83</v>
      </c>
      <c r="C190" s="2">
        <f>IFERROR(__xludf.DUMMYFUNCTION("""COMPUTED_VALUE"""),321.39)</f>
        <v>321.39</v>
      </c>
      <c r="D190" s="2">
        <f>IFERROR(__xludf.DUMMYFUNCTION("""COMPUTED_VALUE"""),311.21)</f>
        <v>311.21</v>
      </c>
      <c r="E190" s="2">
        <f>IFERROR(__xludf.DUMMYFUNCTION("""COMPUTED_VALUE"""),313.39)</f>
        <v>313.39</v>
      </c>
      <c r="F190" s="2">
        <f>IFERROR(__xludf.DUMMYFUNCTION("""COMPUTED_VALUE"""),2.1033492E7)</f>
        <v>21033492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IFERROR(__xludf.DUMMYFUNCTION("""COMPUTED_VALUE"""),314.03)</f>
        <v>314.03</v>
      </c>
      <c r="C191" s="2">
        <f>IFERROR(__xludf.DUMMYFUNCTION("""COMPUTED_VALUE"""),320.04)</f>
        <v>320.04</v>
      </c>
      <c r="D191" s="2">
        <f>IFERROR(__xludf.DUMMYFUNCTION("""COMPUTED_VALUE"""),314.0)</f>
        <v>314</v>
      </c>
      <c r="E191" s="2">
        <f>IFERROR(__xludf.DUMMYFUNCTION("""COMPUTED_VALUE"""),318.96)</f>
        <v>318.96</v>
      </c>
      <c r="F191" s="2">
        <f>IFERROR(__xludf.DUMMYFUNCTION("""COMPUTED_VALUE"""),2.0720144E7)</f>
        <v>20720144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IFERROR(__xludf.DUMMYFUNCTION("""COMPUTED_VALUE"""),319.09)</f>
        <v>319.09</v>
      </c>
      <c r="C192" s="2">
        <f>IFERROR(__xludf.DUMMYFUNCTION("""COMPUTED_VALUE"""),319.98)</f>
        <v>319.98</v>
      </c>
      <c r="D192" s="2">
        <f>IFERROR(__xludf.DUMMYFUNCTION("""COMPUTED_VALUE"""),314.9)</f>
        <v>314.9</v>
      </c>
      <c r="E192" s="2">
        <f>IFERROR(__xludf.DUMMYFUNCTION("""COMPUTED_VALUE"""),319.36)</f>
        <v>319.36</v>
      </c>
      <c r="F192" s="2">
        <f>IFERROR(__xludf.DUMMYFUNCTION("""COMPUTED_VALUE"""),1.6965629E7)</f>
        <v>16965629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IFERROR(__xludf.DUMMYFUNCTION("""COMPUTED_VALUE"""),316.55)</f>
        <v>316.55</v>
      </c>
      <c r="C193" s="2">
        <f>IFERROR(__xludf.DUMMYFUNCTION("""COMPUTED_VALUE"""),329.19)</f>
        <v>329.19</v>
      </c>
      <c r="D193" s="2">
        <f>IFERROR(__xludf.DUMMYFUNCTION("""COMPUTED_VALUE"""),316.3)</f>
        <v>316.3</v>
      </c>
      <c r="E193" s="2">
        <f>IFERROR(__xludf.DUMMYFUNCTION("""COMPUTED_VALUE"""),327.26)</f>
        <v>327.26</v>
      </c>
      <c r="F193" s="2">
        <f>IFERROR(__xludf.DUMMYFUNCTION("""COMPUTED_VALUE"""),2.567363E7)</f>
        <v>25673630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IFERROR(__xludf.DUMMYFUNCTION("""COMPUTED_VALUE"""),324.75)</f>
        <v>324.75</v>
      </c>
      <c r="C194" s="2">
        <f>IFERROR(__xludf.DUMMYFUNCTION("""COMPUTED_VALUE"""),330.3)</f>
        <v>330.3</v>
      </c>
      <c r="D194" s="2">
        <f>IFERROR(__xludf.DUMMYFUNCTION("""COMPUTED_VALUE"""),323.18)</f>
        <v>323.18</v>
      </c>
      <c r="E194" s="2">
        <f>IFERROR(__xludf.DUMMYFUNCTION("""COMPUTED_VALUE"""),329.82)</f>
        <v>329.82</v>
      </c>
      <c r="F194" s="2">
        <f>IFERROR(__xludf.DUMMYFUNCTION("""COMPUTED_VALUE"""),1.989118E7)</f>
        <v>19891180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IFERROR(__xludf.DUMMYFUNCTION("""COMPUTED_VALUE"""),330.96)</f>
        <v>330.96</v>
      </c>
      <c r="C195" s="2">
        <f>IFERROR(__xludf.DUMMYFUNCTION("""COMPUTED_VALUE"""),331.1)</f>
        <v>331.1</v>
      </c>
      <c r="D195" s="2">
        <f>IFERROR(__xludf.DUMMYFUNCTION("""COMPUTED_VALUE"""),327.67)</f>
        <v>327.67</v>
      </c>
      <c r="E195" s="2">
        <f>IFERROR(__xludf.DUMMYFUNCTION("""COMPUTED_VALUE"""),328.39)</f>
        <v>328.39</v>
      </c>
      <c r="F195" s="2">
        <f>IFERROR(__xludf.DUMMYFUNCTION("""COMPUTED_VALUE"""),2.0557094E7)</f>
        <v>20557094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IFERROR(__xludf.DUMMYFUNCTION("""COMPUTED_VALUE"""),331.21)</f>
        <v>331.21</v>
      </c>
      <c r="C196" s="2">
        <f>IFERROR(__xludf.DUMMYFUNCTION("""COMPUTED_VALUE"""),332.82)</f>
        <v>332.82</v>
      </c>
      <c r="D196" s="2">
        <f>IFERROR(__xludf.DUMMYFUNCTION("""COMPUTED_VALUE"""),329.14)</f>
        <v>329.14</v>
      </c>
      <c r="E196" s="2">
        <f>IFERROR(__xludf.DUMMYFUNCTION("""COMPUTED_VALUE"""),332.42)</f>
        <v>332.42</v>
      </c>
      <c r="F196" s="2">
        <f>IFERROR(__xludf.DUMMYFUNCTION("""COMPUTED_VALUE"""),2.0063246E7)</f>
        <v>20063246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IFERROR(__xludf.DUMMYFUNCTION("""COMPUTED_VALUE"""),330.57)</f>
        <v>330.57</v>
      </c>
      <c r="C197" s="2">
        <f>IFERROR(__xludf.DUMMYFUNCTION("""COMPUTED_VALUE"""),333.63)</f>
        <v>333.63</v>
      </c>
      <c r="D197" s="2">
        <f>IFERROR(__xludf.DUMMYFUNCTION("""COMPUTED_VALUE"""),328.72)</f>
        <v>328.72</v>
      </c>
      <c r="E197" s="2">
        <f>IFERROR(__xludf.DUMMYFUNCTION("""COMPUTED_VALUE"""),331.16)</f>
        <v>331.16</v>
      </c>
      <c r="F197" s="2">
        <f>IFERROR(__xludf.DUMMYFUNCTION("""COMPUTED_VALUE"""),1.9313098E7)</f>
        <v>19313098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IFERROR(__xludf.DUMMYFUNCTION("""COMPUTED_VALUE"""),332.38)</f>
        <v>332.38</v>
      </c>
      <c r="C198" s="2">
        <f>IFERROR(__xludf.DUMMYFUNCTION("""COMPUTED_VALUE"""),333.83)</f>
        <v>333.83</v>
      </c>
      <c r="D198" s="2">
        <f>IFERROR(__xludf.DUMMYFUNCTION("""COMPUTED_VALUE"""),326.36)</f>
        <v>326.36</v>
      </c>
      <c r="E198" s="2">
        <f>IFERROR(__xludf.DUMMYFUNCTION("""COMPUTED_VALUE"""),327.73)</f>
        <v>327.73</v>
      </c>
      <c r="F198" s="2">
        <f>IFERROR(__xludf.DUMMYFUNCTION("""COMPUTED_VALUE"""),2.1085695E7)</f>
        <v>21085695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IFERROR(__xludf.DUMMYFUNCTION("""COMPUTED_VALUE"""),331.05)</f>
        <v>331.05</v>
      </c>
      <c r="C199" s="2">
        <f>IFERROR(__xludf.DUMMYFUNCTION("""COMPUTED_VALUE"""),336.14)</f>
        <v>336.14</v>
      </c>
      <c r="D199" s="2">
        <f>IFERROR(__xludf.DUMMYFUNCTION("""COMPUTED_VALUE"""),330.6)</f>
        <v>330.6</v>
      </c>
      <c r="E199" s="2">
        <f>IFERROR(__xludf.DUMMYFUNCTION("""COMPUTED_VALUE"""),332.64)</f>
        <v>332.64</v>
      </c>
      <c r="F199" s="2">
        <f>IFERROR(__xludf.DUMMYFUNCTION("""COMPUTED_VALUE"""),2.2158048E7)</f>
        <v>22158048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IFERROR(__xludf.DUMMYFUNCTION("""COMPUTED_VALUE"""),329.59)</f>
        <v>329.59</v>
      </c>
      <c r="C200" s="2">
        <f>IFERROR(__xludf.DUMMYFUNCTION("""COMPUTED_VALUE"""),333.46)</f>
        <v>333.46</v>
      </c>
      <c r="D200" s="2">
        <f>IFERROR(__xludf.DUMMYFUNCTION("""COMPUTED_VALUE"""),327.41)</f>
        <v>327.41</v>
      </c>
      <c r="E200" s="2">
        <f>IFERROR(__xludf.DUMMYFUNCTION("""COMPUTED_VALUE"""),332.06)</f>
        <v>332.06</v>
      </c>
      <c r="F200" s="2">
        <f>IFERROR(__xludf.DUMMYFUNCTION("""COMPUTED_VALUE"""),1.8338523E7)</f>
        <v>18338523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IFERROR(__xludf.DUMMYFUNCTION("""COMPUTED_VALUE"""),332.49)</f>
        <v>332.49</v>
      </c>
      <c r="C201" s="2">
        <f>IFERROR(__xludf.DUMMYFUNCTION("""COMPUTED_VALUE"""),335.59)</f>
        <v>335.59</v>
      </c>
      <c r="D201" s="2">
        <f>IFERROR(__xludf.DUMMYFUNCTION("""COMPUTED_VALUE"""),328.3)</f>
        <v>328.3</v>
      </c>
      <c r="E201" s="2">
        <f>IFERROR(__xludf.DUMMYFUNCTION("""COMPUTED_VALUE"""),330.11)</f>
        <v>330.11</v>
      </c>
      <c r="F201" s="2">
        <f>IFERROR(__xludf.DUMMYFUNCTION("""COMPUTED_VALUE"""),2.3153602E7)</f>
        <v>23153602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IFERROR(__xludf.DUMMYFUNCTION("""COMPUTED_VALUE"""),332.15)</f>
        <v>332.15</v>
      </c>
      <c r="C202" s="2">
        <f>IFERROR(__xludf.DUMMYFUNCTION("""COMPUTED_VALUE"""),336.88)</f>
        <v>336.88</v>
      </c>
      <c r="D202" s="2">
        <f>IFERROR(__xludf.DUMMYFUNCTION("""COMPUTED_VALUE"""),330.91)</f>
        <v>330.91</v>
      </c>
      <c r="E202" s="2">
        <f>IFERROR(__xludf.DUMMYFUNCTION("""COMPUTED_VALUE"""),331.32)</f>
        <v>331.32</v>
      </c>
      <c r="F202" s="2">
        <f>IFERROR(__xludf.DUMMYFUNCTION("""COMPUTED_VALUE"""),2.5052071E7)</f>
        <v>25052071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IFERROR(__xludf.DUMMYFUNCTION("""COMPUTED_VALUE"""),331.72)</f>
        <v>331.72</v>
      </c>
      <c r="C203" s="2">
        <f>IFERROR(__xludf.DUMMYFUNCTION("""COMPUTED_VALUE"""),331.92)</f>
        <v>331.92</v>
      </c>
      <c r="D203" s="2">
        <f>IFERROR(__xludf.DUMMYFUNCTION("""COMPUTED_VALUE"""),325.45)</f>
        <v>325.45</v>
      </c>
      <c r="E203" s="2">
        <f>IFERROR(__xludf.DUMMYFUNCTION("""COMPUTED_VALUE"""),326.67)</f>
        <v>326.67</v>
      </c>
      <c r="F203" s="2">
        <f>IFERROR(__xludf.DUMMYFUNCTION("""COMPUTED_VALUE"""),2.5027715E7)</f>
        <v>25027715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IFERROR(__xludf.DUMMYFUNCTION("""COMPUTED_VALUE"""),325.47)</f>
        <v>325.47</v>
      </c>
      <c r="C204" s="2">
        <f>IFERROR(__xludf.DUMMYFUNCTION("""COMPUTED_VALUE"""),332.73)</f>
        <v>332.73</v>
      </c>
      <c r="D204" s="2">
        <f>IFERROR(__xludf.DUMMYFUNCTION("""COMPUTED_VALUE"""),324.39)</f>
        <v>324.39</v>
      </c>
      <c r="E204" s="2">
        <f>IFERROR(__xludf.DUMMYFUNCTION("""COMPUTED_VALUE"""),329.32)</f>
        <v>329.32</v>
      </c>
      <c r="F204" s="2">
        <f>IFERROR(__xludf.DUMMYFUNCTION("""COMPUTED_VALUE"""),2.4374748E7)</f>
        <v>24374748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IFERROR(__xludf.DUMMYFUNCTION("""COMPUTED_VALUE"""),331.3)</f>
        <v>331.3</v>
      </c>
      <c r="C205" s="2">
        <f>IFERROR(__xludf.DUMMYFUNCTION("""COMPUTED_VALUE"""),331.84)</f>
        <v>331.84</v>
      </c>
      <c r="D205" s="2">
        <f>IFERROR(__xludf.DUMMYFUNCTION("""COMPUTED_VALUE"""),327.6)</f>
        <v>327.6</v>
      </c>
      <c r="E205" s="2">
        <f>IFERROR(__xludf.DUMMYFUNCTION("""COMPUTED_VALUE"""),330.53)</f>
        <v>330.53</v>
      </c>
      <c r="F205" s="2">
        <f>IFERROR(__xludf.DUMMYFUNCTION("""COMPUTED_VALUE"""),3.1153571E7)</f>
        <v>31153571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IFERROR(__xludf.DUMMYFUNCTION("""COMPUTED_VALUE"""),345.02)</f>
        <v>345.02</v>
      </c>
      <c r="C206" s="2">
        <f>IFERROR(__xludf.DUMMYFUNCTION("""COMPUTED_VALUE"""),346.2)</f>
        <v>346.2</v>
      </c>
      <c r="D206" s="2">
        <f>IFERROR(__xludf.DUMMYFUNCTION("""COMPUTED_VALUE"""),337.62)</f>
        <v>337.62</v>
      </c>
      <c r="E206" s="2">
        <f>IFERROR(__xludf.DUMMYFUNCTION("""COMPUTED_VALUE"""),340.67)</f>
        <v>340.67</v>
      </c>
      <c r="F206" s="2">
        <f>IFERROR(__xludf.DUMMYFUNCTION("""COMPUTED_VALUE"""),5.5053828E7)</f>
        <v>55053828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IFERROR(__xludf.DUMMYFUNCTION("""COMPUTED_VALUE"""),340.54)</f>
        <v>340.54</v>
      </c>
      <c r="C207" s="2">
        <f>IFERROR(__xludf.DUMMYFUNCTION("""COMPUTED_VALUE"""),341.63)</f>
        <v>341.63</v>
      </c>
      <c r="D207" s="2">
        <f>IFERROR(__xludf.DUMMYFUNCTION("""COMPUTED_VALUE"""),326.94)</f>
        <v>326.94</v>
      </c>
      <c r="E207" s="2">
        <f>IFERROR(__xludf.DUMMYFUNCTION("""COMPUTED_VALUE"""),327.89)</f>
        <v>327.89</v>
      </c>
      <c r="F207" s="2">
        <f>IFERROR(__xludf.DUMMYFUNCTION("""COMPUTED_VALUE"""),3.7828543E7)</f>
        <v>37828543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IFERROR(__xludf.DUMMYFUNCTION("""COMPUTED_VALUE"""),330.43)</f>
        <v>330.43</v>
      </c>
      <c r="C208" s="2">
        <f>IFERROR(__xludf.DUMMYFUNCTION("""COMPUTED_VALUE"""),336.72)</f>
        <v>336.72</v>
      </c>
      <c r="D208" s="2">
        <f>IFERROR(__xludf.DUMMYFUNCTION("""COMPUTED_VALUE"""),328.4)</f>
        <v>328.4</v>
      </c>
      <c r="E208" s="2">
        <f>IFERROR(__xludf.DUMMYFUNCTION("""COMPUTED_VALUE"""),329.81)</f>
        <v>329.81</v>
      </c>
      <c r="F208" s="2">
        <f>IFERROR(__xludf.DUMMYFUNCTION("""COMPUTED_VALUE"""),2.9856522E7)</f>
        <v>29856522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IFERROR(__xludf.DUMMYFUNCTION("""COMPUTED_VALUE"""),333.41)</f>
        <v>333.41</v>
      </c>
      <c r="C209" s="2">
        <f>IFERROR(__xludf.DUMMYFUNCTION("""COMPUTED_VALUE"""),339.45)</f>
        <v>339.45</v>
      </c>
      <c r="D209" s="2">
        <f>IFERROR(__xludf.DUMMYFUNCTION("""COMPUTED_VALUE"""),331.83)</f>
        <v>331.83</v>
      </c>
      <c r="E209" s="2">
        <f>IFERROR(__xludf.DUMMYFUNCTION("""COMPUTED_VALUE"""),337.31)</f>
        <v>337.31</v>
      </c>
      <c r="F209" s="2">
        <f>IFERROR(__xludf.DUMMYFUNCTION("""COMPUTED_VALUE"""),2.2828082E7)</f>
        <v>22828082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IFERROR(__xludf.DUMMYFUNCTION("""COMPUTED_VALUE"""),338.85)</f>
        <v>338.85</v>
      </c>
      <c r="C210" s="2">
        <f>IFERROR(__xludf.DUMMYFUNCTION("""COMPUTED_VALUE"""),339.0)</f>
        <v>339</v>
      </c>
      <c r="D210" s="2">
        <f>IFERROR(__xludf.DUMMYFUNCTION("""COMPUTED_VALUE"""),334.69)</f>
        <v>334.69</v>
      </c>
      <c r="E210" s="2">
        <f>IFERROR(__xludf.DUMMYFUNCTION("""COMPUTED_VALUE"""),338.11)</f>
        <v>338.11</v>
      </c>
      <c r="F210" s="2">
        <f>IFERROR(__xludf.DUMMYFUNCTION("""COMPUTED_VALUE"""),2.0265282E7)</f>
        <v>20265282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IFERROR(__xludf.DUMMYFUNCTION("""COMPUTED_VALUE"""),339.79)</f>
        <v>339.79</v>
      </c>
      <c r="C211" s="2">
        <f>IFERROR(__xludf.DUMMYFUNCTION("""COMPUTED_VALUE"""),347.42)</f>
        <v>347.42</v>
      </c>
      <c r="D211" s="2">
        <f>IFERROR(__xludf.DUMMYFUNCTION("""COMPUTED_VALUE"""),339.65)</f>
        <v>339.65</v>
      </c>
      <c r="E211" s="2">
        <f>IFERROR(__xludf.DUMMYFUNCTION("""COMPUTED_VALUE"""),346.07)</f>
        <v>346.07</v>
      </c>
      <c r="F211" s="2">
        <f>IFERROR(__xludf.DUMMYFUNCTION("""COMPUTED_VALUE"""),2.8158819E7)</f>
        <v>28158819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IFERROR(__xludf.DUMMYFUNCTION("""COMPUTED_VALUE"""),347.24)</f>
        <v>347.24</v>
      </c>
      <c r="C212" s="2">
        <f>IFERROR(__xludf.DUMMYFUNCTION("""COMPUTED_VALUE"""),348.83)</f>
        <v>348.83</v>
      </c>
      <c r="D212" s="2">
        <f>IFERROR(__xludf.DUMMYFUNCTION("""COMPUTED_VALUE"""),344.77)</f>
        <v>344.77</v>
      </c>
      <c r="E212" s="2">
        <f>IFERROR(__xludf.DUMMYFUNCTION("""COMPUTED_VALUE"""),348.32)</f>
        <v>348.32</v>
      </c>
      <c r="F212" s="2">
        <f>IFERROR(__xludf.DUMMYFUNCTION("""COMPUTED_VALUE"""),2.4348072E7)</f>
        <v>24348072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IFERROR(__xludf.DUMMYFUNCTION("""COMPUTED_VALUE"""),349.63)</f>
        <v>349.63</v>
      </c>
      <c r="C213" s="2">
        <f>IFERROR(__xludf.DUMMYFUNCTION("""COMPUTED_VALUE"""),354.39)</f>
        <v>354.39</v>
      </c>
      <c r="D213" s="2">
        <f>IFERROR(__xludf.DUMMYFUNCTION("""COMPUTED_VALUE"""),347.33)</f>
        <v>347.33</v>
      </c>
      <c r="E213" s="2">
        <f>IFERROR(__xludf.DUMMYFUNCTION("""COMPUTED_VALUE"""),352.8)</f>
        <v>352.8</v>
      </c>
      <c r="F213" s="2">
        <f>IFERROR(__xludf.DUMMYFUNCTION("""COMPUTED_VALUE"""),2.3637673E7)</f>
        <v>23637673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IFERROR(__xludf.DUMMYFUNCTION("""COMPUTED_VALUE"""),353.45)</f>
        <v>353.45</v>
      </c>
      <c r="C214" s="2">
        <f>IFERROR(__xludf.DUMMYFUNCTION("""COMPUTED_VALUE"""),357.54)</f>
        <v>357.54</v>
      </c>
      <c r="D214" s="2">
        <f>IFERROR(__xludf.DUMMYFUNCTION("""COMPUTED_VALUE"""),353.35)</f>
        <v>353.35</v>
      </c>
      <c r="E214" s="2">
        <f>IFERROR(__xludf.DUMMYFUNCTION("""COMPUTED_VALUE"""),356.53)</f>
        <v>356.53</v>
      </c>
      <c r="F214" s="2">
        <f>IFERROR(__xludf.DUMMYFUNCTION("""COMPUTED_VALUE"""),2.3828301E7)</f>
        <v>23828301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IFERROR(__xludf.DUMMYFUNCTION("""COMPUTED_VALUE"""),359.4)</f>
        <v>359.4</v>
      </c>
      <c r="C215" s="2">
        <f>IFERROR(__xludf.DUMMYFUNCTION("""COMPUTED_VALUE"""),362.46)</f>
        <v>362.46</v>
      </c>
      <c r="D215" s="2">
        <f>IFERROR(__xludf.DUMMYFUNCTION("""COMPUTED_VALUE"""),357.63)</f>
        <v>357.63</v>
      </c>
      <c r="E215" s="2">
        <f>IFERROR(__xludf.DUMMYFUNCTION("""COMPUTED_VALUE"""),360.53)</f>
        <v>360.53</v>
      </c>
      <c r="F215" s="2">
        <f>IFERROR(__xludf.DUMMYFUNCTION("""COMPUTED_VALUE"""),2.5833931E7)</f>
        <v>25833931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IFERROR(__xludf.DUMMYFUNCTION("""COMPUTED_VALUE"""),361.68)</f>
        <v>361.68</v>
      </c>
      <c r="C216" s="2">
        <f>IFERROR(__xludf.DUMMYFUNCTION("""COMPUTED_VALUE"""),363.87)</f>
        <v>363.87</v>
      </c>
      <c r="D216" s="2">
        <f>IFERROR(__xludf.DUMMYFUNCTION("""COMPUTED_VALUE"""),360.55)</f>
        <v>360.55</v>
      </c>
      <c r="E216" s="2">
        <f>IFERROR(__xludf.DUMMYFUNCTION("""COMPUTED_VALUE"""),363.2)</f>
        <v>363.2</v>
      </c>
      <c r="F216" s="2">
        <f>IFERROR(__xludf.DUMMYFUNCTION("""COMPUTED_VALUE"""),2.6767828E7)</f>
        <v>26767828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IFERROR(__xludf.DUMMYFUNCTION("""COMPUTED_VALUE"""),362.3)</f>
        <v>362.3</v>
      </c>
      <c r="C217" s="2">
        <f>IFERROR(__xludf.DUMMYFUNCTION("""COMPUTED_VALUE"""),364.79)</f>
        <v>364.79</v>
      </c>
      <c r="D217" s="2">
        <f>IFERROR(__xludf.DUMMYFUNCTION("""COMPUTED_VALUE"""),360.36)</f>
        <v>360.36</v>
      </c>
      <c r="E217" s="2">
        <f>IFERROR(__xludf.DUMMYFUNCTION("""COMPUTED_VALUE"""),360.69)</f>
        <v>360.69</v>
      </c>
      <c r="F217" s="2">
        <f>IFERROR(__xludf.DUMMYFUNCTION("""COMPUTED_VALUE"""),2.4847331E7)</f>
        <v>24847331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IFERROR(__xludf.DUMMYFUNCTION("""COMPUTED_VALUE"""),361.49)</f>
        <v>361.49</v>
      </c>
      <c r="C218" s="2">
        <f>IFERROR(__xludf.DUMMYFUNCTION("""COMPUTED_VALUE"""),370.1)</f>
        <v>370.1</v>
      </c>
      <c r="D218" s="2">
        <f>IFERROR(__xludf.DUMMYFUNCTION("""COMPUTED_VALUE"""),361.07)</f>
        <v>361.07</v>
      </c>
      <c r="E218" s="2">
        <f>IFERROR(__xludf.DUMMYFUNCTION("""COMPUTED_VALUE"""),369.67)</f>
        <v>369.67</v>
      </c>
      <c r="F218" s="2">
        <f>IFERROR(__xludf.DUMMYFUNCTION("""COMPUTED_VALUE"""),2.8065164E7)</f>
        <v>28065164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IFERROR(__xludf.DUMMYFUNCTION("""COMPUTED_VALUE"""),368.22)</f>
        <v>368.22</v>
      </c>
      <c r="C219" s="2">
        <f>IFERROR(__xludf.DUMMYFUNCTION("""COMPUTED_VALUE"""),368.47)</f>
        <v>368.47</v>
      </c>
      <c r="D219" s="2">
        <f>IFERROR(__xludf.DUMMYFUNCTION("""COMPUTED_VALUE"""),365.9)</f>
        <v>365.9</v>
      </c>
      <c r="E219" s="2">
        <f>IFERROR(__xludf.DUMMYFUNCTION("""COMPUTED_VALUE"""),366.68)</f>
        <v>366.68</v>
      </c>
      <c r="F219" s="2">
        <f>IFERROR(__xludf.DUMMYFUNCTION("""COMPUTED_VALUE"""),1.9986506E7)</f>
        <v>19986506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IFERROR(__xludf.DUMMYFUNCTION("""COMPUTED_VALUE"""),371.01)</f>
        <v>371.01</v>
      </c>
      <c r="C220" s="2">
        <f>IFERROR(__xludf.DUMMYFUNCTION("""COMPUTED_VALUE"""),371.95)</f>
        <v>371.95</v>
      </c>
      <c r="D220" s="2">
        <f>IFERROR(__xludf.DUMMYFUNCTION("""COMPUTED_VALUE"""),367.35)</f>
        <v>367.35</v>
      </c>
      <c r="E220" s="2">
        <f>IFERROR(__xludf.DUMMYFUNCTION("""COMPUTED_VALUE"""),370.27)</f>
        <v>370.27</v>
      </c>
      <c r="F220" s="2">
        <f>IFERROR(__xludf.DUMMYFUNCTION("""COMPUTED_VALUE"""),2.7683862E7)</f>
        <v>27683862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IFERROR(__xludf.DUMMYFUNCTION("""COMPUTED_VALUE"""),371.28)</f>
        <v>371.28</v>
      </c>
      <c r="C221" s="2">
        <f>IFERROR(__xludf.DUMMYFUNCTION("""COMPUTED_VALUE"""),373.13)</f>
        <v>373.13</v>
      </c>
      <c r="D221" s="2">
        <f>IFERROR(__xludf.DUMMYFUNCTION("""COMPUTED_VALUE"""),367.11)</f>
        <v>367.11</v>
      </c>
      <c r="E221" s="2">
        <f>IFERROR(__xludf.DUMMYFUNCTION("""COMPUTED_VALUE"""),369.67)</f>
        <v>369.67</v>
      </c>
      <c r="F221" s="2">
        <f>IFERROR(__xludf.DUMMYFUNCTION("""COMPUTED_VALUE"""),2.6860095E7)</f>
        <v>26860095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IFERROR(__xludf.DUMMYFUNCTION("""COMPUTED_VALUE"""),370.96)</f>
        <v>370.96</v>
      </c>
      <c r="C222" s="2">
        <f>IFERROR(__xludf.DUMMYFUNCTION("""COMPUTED_VALUE"""),376.35)</f>
        <v>376.35</v>
      </c>
      <c r="D222" s="2">
        <f>IFERROR(__xludf.DUMMYFUNCTION("""COMPUTED_VALUE"""),370.18)</f>
        <v>370.18</v>
      </c>
      <c r="E222" s="2">
        <f>IFERROR(__xludf.DUMMYFUNCTION("""COMPUTED_VALUE"""),376.17)</f>
        <v>376.17</v>
      </c>
      <c r="F222" s="2">
        <f>IFERROR(__xludf.DUMMYFUNCTION("""COMPUTED_VALUE"""),2.7182315E7)</f>
        <v>27182315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IFERROR(__xludf.DUMMYFUNCTION("""COMPUTED_VALUE"""),373.61)</f>
        <v>373.61</v>
      </c>
      <c r="C223" s="2">
        <f>IFERROR(__xludf.DUMMYFUNCTION("""COMPUTED_VALUE"""),374.37)</f>
        <v>374.37</v>
      </c>
      <c r="D223" s="2">
        <f>IFERROR(__xludf.DUMMYFUNCTION("""COMPUTED_VALUE"""),367.0)</f>
        <v>367</v>
      </c>
      <c r="E223" s="2">
        <f>IFERROR(__xludf.DUMMYFUNCTION("""COMPUTED_VALUE"""),369.85)</f>
        <v>369.85</v>
      </c>
      <c r="F223" s="2">
        <f>IFERROR(__xludf.DUMMYFUNCTION("""COMPUTED_VALUE"""),4.0325371E7)</f>
        <v>40325371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IFERROR(__xludf.DUMMYFUNCTION("""COMPUTED_VALUE"""),371.22)</f>
        <v>371.22</v>
      </c>
      <c r="C224" s="2">
        <f>IFERROR(__xludf.DUMMYFUNCTION("""COMPUTED_VALUE"""),378.87)</f>
        <v>378.87</v>
      </c>
      <c r="D224" s="2">
        <f>IFERROR(__xludf.DUMMYFUNCTION("""COMPUTED_VALUE"""),371.0)</f>
        <v>371</v>
      </c>
      <c r="E224" s="2">
        <f>IFERROR(__xludf.DUMMYFUNCTION("""COMPUTED_VALUE"""),377.44)</f>
        <v>377.44</v>
      </c>
      <c r="F224" s="2">
        <f>IFERROR(__xludf.DUMMYFUNCTION("""COMPUTED_VALUE"""),5.2528964E7)</f>
        <v>52528964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IFERROR(__xludf.DUMMYFUNCTION("""COMPUTED_VALUE"""),375.67)</f>
        <v>375.67</v>
      </c>
      <c r="C225" s="2">
        <f>IFERROR(__xludf.DUMMYFUNCTION("""COMPUTED_VALUE"""),376.22)</f>
        <v>376.22</v>
      </c>
      <c r="D225" s="2">
        <f>IFERROR(__xludf.DUMMYFUNCTION("""COMPUTED_VALUE"""),371.12)</f>
        <v>371.12</v>
      </c>
      <c r="E225" s="2">
        <f>IFERROR(__xludf.DUMMYFUNCTION("""COMPUTED_VALUE"""),373.07)</f>
        <v>373.07</v>
      </c>
      <c r="F225" s="2">
        <f>IFERROR(__xludf.DUMMYFUNCTION("""COMPUTED_VALUE"""),2.8423145E7)</f>
        <v>28423145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IFERROR(__xludf.DUMMYFUNCTION("""COMPUTED_VALUE"""),378.0)</f>
        <v>378</v>
      </c>
      <c r="C226" s="2">
        <f>IFERROR(__xludf.DUMMYFUNCTION("""COMPUTED_VALUE"""),379.79)</f>
        <v>379.79</v>
      </c>
      <c r="D226" s="2">
        <f>IFERROR(__xludf.DUMMYFUNCTION("""COMPUTED_VALUE"""),374.97)</f>
        <v>374.97</v>
      </c>
      <c r="E226" s="2">
        <f>IFERROR(__xludf.DUMMYFUNCTION("""COMPUTED_VALUE"""),377.85)</f>
        <v>377.85</v>
      </c>
      <c r="F226" s="2">
        <f>IFERROR(__xludf.DUMMYFUNCTION("""COMPUTED_VALUE"""),2.3361184E7)</f>
        <v>23361184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IFERROR(__xludf.DUMMYFUNCTION("""COMPUTED_VALUE"""),377.33)</f>
        <v>377.33</v>
      </c>
      <c r="C227" s="2">
        <f>IFERROR(__xludf.DUMMYFUNCTION("""COMPUTED_VALUE"""),377.97)</f>
        <v>377.97</v>
      </c>
      <c r="D227" s="2">
        <f>IFERROR(__xludf.DUMMYFUNCTION("""COMPUTED_VALUE"""),375.14)</f>
        <v>375.14</v>
      </c>
      <c r="E227" s="2">
        <f>IFERROR(__xludf.DUMMYFUNCTION("""COMPUTED_VALUE"""),377.43)</f>
        <v>377.43</v>
      </c>
      <c r="F227" s="2">
        <f>IFERROR(__xludf.DUMMYFUNCTION("""COMPUTED_VALUE"""),1.0176649E7)</f>
        <v>10176649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IFERROR(__xludf.DUMMYFUNCTION("""COMPUTED_VALUE"""),376.78)</f>
        <v>376.78</v>
      </c>
      <c r="C228" s="2">
        <f>IFERROR(__xludf.DUMMYFUNCTION("""COMPUTED_VALUE"""),380.64)</f>
        <v>380.64</v>
      </c>
      <c r="D228" s="2">
        <f>IFERROR(__xludf.DUMMYFUNCTION("""COMPUTED_VALUE"""),376.2)</f>
        <v>376.2</v>
      </c>
      <c r="E228" s="2">
        <f>IFERROR(__xludf.DUMMYFUNCTION("""COMPUTED_VALUE"""),378.61)</f>
        <v>378.61</v>
      </c>
      <c r="F228" s="2">
        <f>IFERROR(__xludf.DUMMYFUNCTION("""COMPUTED_VALUE"""),2.2179228E7)</f>
        <v>22179228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IFERROR(__xludf.DUMMYFUNCTION("""COMPUTED_VALUE"""),378.35)</f>
        <v>378.35</v>
      </c>
      <c r="C229" s="2">
        <f>IFERROR(__xludf.DUMMYFUNCTION("""COMPUTED_VALUE"""),383.0)</f>
        <v>383</v>
      </c>
      <c r="D229" s="2">
        <f>IFERROR(__xludf.DUMMYFUNCTION("""COMPUTED_VALUE"""),378.16)</f>
        <v>378.16</v>
      </c>
      <c r="E229" s="2">
        <f>IFERROR(__xludf.DUMMYFUNCTION("""COMPUTED_VALUE"""),382.7)</f>
        <v>382.7</v>
      </c>
      <c r="F229" s="2">
        <f>IFERROR(__xludf.DUMMYFUNCTION("""COMPUTED_VALUE"""),2.0453112E7)</f>
        <v>20453112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IFERROR(__xludf.DUMMYFUNCTION("""COMPUTED_VALUE"""),383.76)</f>
        <v>383.76</v>
      </c>
      <c r="C230" s="2">
        <f>IFERROR(__xludf.DUMMYFUNCTION("""COMPUTED_VALUE"""),384.3)</f>
        <v>384.3</v>
      </c>
      <c r="D230" s="2">
        <f>IFERROR(__xludf.DUMMYFUNCTION("""COMPUTED_VALUE"""),377.44)</f>
        <v>377.44</v>
      </c>
      <c r="E230" s="2">
        <f>IFERROR(__xludf.DUMMYFUNCTION("""COMPUTED_VALUE"""),378.85)</f>
        <v>378.85</v>
      </c>
      <c r="F230" s="2">
        <f>IFERROR(__xludf.DUMMYFUNCTION("""COMPUTED_VALUE"""),2.8963399E7)</f>
        <v>28963399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IFERROR(__xludf.DUMMYFUNCTION("""COMPUTED_VALUE"""),378.49)</f>
        <v>378.49</v>
      </c>
      <c r="C231" s="2">
        <f>IFERROR(__xludf.DUMMYFUNCTION("""COMPUTED_VALUE"""),380.09)</f>
        <v>380.09</v>
      </c>
      <c r="D231" s="2">
        <f>IFERROR(__xludf.DUMMYFUNCTION("""COMPUTED_VALUE"""),375.47)</f>
        <v>375.47</v>
      </c>
      <c r="E231" s="2">
        <f>IFERROR(__xludf.DUMMYFUNCTION("""COMPUTED_VALUE"""),378.91)</f>
        <v>378.91</v>
      </c>
      <c r="F231" s="2">
        <f>IFERROR(__xludf.DUMMYFUNCTION("""COMPUTED_VALUE"""),3.0554415E7)</f>
        <v>30554415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IFERROR(__xludf.DUMMYFUNCTION("""COMPUTED_VALUE"""),376.76)</f>
        <v>376.76</v>
      </c>
      <c r="C232" s="2">
        <f>IFERROR(__xludf.DUMMYFUNCTION("""COMPUTED_VALUE"""),378.16)</f>
        <v>378.16</v>
      </c>
      <c r="D232" s="2">
        <f>IFERROR(__xludf.DUMMYFUNCTION("""COMPUTED_VALUE"""),371.31)</f>
        <v>371.31</v>
      </c>
      <c r="E232" s="2">
        <f>IFERROR(__xludf.DUMMYFUNCTION("""COMPUTED_VALUE"""),374.51)</f>
        <v>374.51</v>
      </c>
      <c r="F232" s="2">
        <f>IFERROR(__xludf.DUMMYFUNCTION("""COMPUTED_VALUE"""),3.3040472E7)</f>
        <v>33040472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IFERROR(__xludf.DUMMYFUNCTION("""COMPUTED_VALUE"""),369.1)</f>
        <v>369.1</v>
      </c>
      <c r="C233" s="2">
        <f>IFERROR(__xludf.DUMMYFUNCTION("""COMPUTED_VALUE"""),369.52)</f>
        <v>369.52</v>
      </c>
      <c r="D233" s="2">
        <f>IFERROR(__xludf.DUMMYFUNCTION("""COMPUTED_VALUE"""),362.9)</f>
        <v>362.9</v>
      </c>
      <c r="E233" s="2">
        <f>IFERROR(__xludf.DUMMYFUNCTION("""COMPUTED_VALUE"""),369.14)</f>
        <v>369.14</v>
      </c>
      <c r="F233" s="2">
        <f>IFERROR(__xludf.DUMMYFUNCTION("""COMPUTED_VALUE"""),3.2063305E7)</f>
        <v>32063305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IFERROR(__xludf.DUMMYFUNCTION("""COMPUTED_VALUE"""),366.45)</f>
        <v>366.45</v>
      </c>
      <c r="C234" s="2">
        <f>IFERROR(__xludf.DUMMYFUNCTION("""COMPUTED_VALUE"""),373.08)</f>
        <v>373.08</v>
      </c>
      <c r="D234" s="2">
        <f>IFERROR(__xludf.DUMMYFUNCTION("""COMPUTED_VALUE"""),365.62)</f>
        <v>365.62</v>
      </c>
      <c r="E234" s="2">
        <f>IFERROR(__xludf.DUMMYFUNCTION("""COMPUTED_VALUE"""),372.52)</f>
        <v>372.52</v>
      </c>
      <c r="F234" s="2">
        <f>IFERROR(__xludf.DUMMYFUNCTION("""COMPUTED_VALUE"""),2.3065035E7)</f>
        <v>23065035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IFERROR(__xludf.DUMMYFUNCTION("""COMPUTED_VALUE"""),373.54)</f>
        <v>373.54</v>
      </c>
      <c r="C235" s="2">
        <f>IFERROR(__xludf.DUMMYFUNCTION("""COMPUTED_VALUE"""),374.18)</f>
        <v>374.18</v>
      </c>
      <c r="D235" s="2">
        <f>IFERROR(__xludf.DUMMYFUNCTION("""COMPUTED_VALUE"""),368.03)</f>
        <v>368.03</v>
      </c>
      <c r="E235" s="2">
        <f>IFERROR(__xludf.DUMMYFUNCTION("""COMPUTED_VALUE"""),368.8)</f>
        <v>368.8</v>
      </c>
      <c r="F235" s="2">
        <f>IFERROR(__xludf.DUMMYFUNCTION("""COMPUTED_VALUE"""),2.1182072E7)</f>
        <v>21182072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IFERROR(__xludf.DUMMYFUNCTION("""COMPUTED_VALUE"""),368.23)</f>
        <v>368.23</v>
      </c>
      <c r="C236" s="2">
        <f>IFERROR(__xludf.DUMMYFUNCTION("""COMPUTED_VALUE"""),371.45)</f>
        <v>371.45</v>
      </c>
      <c r="D236" s="2">
        <f>IFERROR(__xludf.DUMMYFUNCTION("""COMPUTED_VALUE"""),366.32)</f>
        <v>366.32</v>
      </c>
      <c r="E236" s="2">
        <f>IFERROR(__xludf.DUMMYFUNCTION("""COMPUTED_VALUE"""),370.95)</f>
        <v>370.95</v>
      </c>
      <c r="F236" s="2">
        <f>IFERROR(__xludf.DUMMYFUNCTION("""COMPUTED_VALUE"""),2.3118864E7)</f>
        <v>23118864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IFERROR(__xludf.DUMMYFUNCTION("""COMPUTED_VALUE"""),369.2)</f>
        <v>369.2</v>
      </c>
      <c r="C237" s="2">
        <f>IFERROR(__xludf.DUMMYFUNCTION("""COMPUTED_VALUE"""),374.46)</f>
        <v>374.46</v>
      </c>
      <c r="D237" s="2">
        <f>IFERROR(__xludf.DUMMYFUNCTION("""COMPUTED_VALUE"""),368.23)</f>
        <v>368.23</v>
      </c>
      <c r="E237" s="2">
        <f>IFERROR(__xludf.DUMMYFUNCTION("""COMPUTED_VALUE"""),374.23)</f>
        <v>374.23</v>
      </c>
      <c r="F237" s="2">
        <f>IFERROR(__xludf.DUMMYFUNCTION("""COMPUTED_VALUE"""),2.0154366E7)</f>
        <v>20154366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IFERROR(__xludf.DUMMYFUNCTION("""COMPUTED_VALUE"""),368.48)</f>
        <v>368.48</v>
      </c>
      <c r="C238" s="2">
        <f>IFERROR(__xludf.DUMMYFUNCTION("""COMPUTED_VALUE"""),371.6)</f>
        <v>371.6</v>
      </c>
      <c r="D238" s="2">
        <f>IFERROR(__xludf.DUMMYFUNCTION("""COMPUTED_VALUE"""),366.1)</f>
        <v>366.1</v>
      </c>
      <c r="E238" s="2">
        <f>IFERROR(__xludf.DUMMYFUNCTION("""COMPUTED_VALUE"""),371.3)</f>
        <v>371.3</v>
      </c>
      <c r="F238" s="2">
        <f>IFERROR(__xludf.DUMMYFUNCTION("""COMPUTED_VALUE"""),2.7708757E7)</f>
        <v>27708757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IFERROR(__xludf.DUMMYFUNCTION("""COMPUTED_VALUE"""),370.85)</f>
        <v>370.85</v>
      </c>
      <c r="C239" s="2">
        <f>IFERROR(__xludf.DUMMYFUNCTION("""COMPUTED_VALUE"""),374.42)</f>
        <v>374.42</v>
      </c>
      <c r="D239" s="2">
        <f>IFERROR(__xludf.DUMMYFUNCTION("""COMPUTED_VALUE"""),370.46)</f>
        <v>370.46</v>
      </c>
      <c r="E239" s="2">
        <f>IFERROR(__xludf.DUMMYFUNCTION("""COMPUTED_VALUE"""),374.38)</f>
        <v>374.38</v>
      </c>
      <c r="F239" s="2">
        <f>IFERROR(__xludf.DUMMYFUNCTION("""COMPUTED_VALUE"""),2.4838253E7)</f>
        <v>24838253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IFERROR(__xludf.DUMMYFUNCTION("""COMPUTED_VALUE"""),376.02)</f>
        <v>376.02</v>
      </c>
      <c r="C240" s="2">
        <f>IFERROR(__xludf.DUMMYFUNCTION("""COMPUTED_VALUE"""),377.64)</f>
        <v>377.64</v>
      </c>
      <c r="D240" s="2">
        <f>IFERROR(__xludf.DUMMYFUNCTION("""COMPUTED_VALUE"""),370.77)</f>
        <v>370.77</v>
      </c>
      <c r="E240" s="2">
        <f>IFERROR(__xludf.DUMMYFUNCTION("""COMPUTED_VALUE"""),374.37)</f>
        <v>374.37</v>
      </c>
      <c r="F240" s="2">
        <f>IFERROR(__xludf.DUMMYFUNCTION("""COMPUTED_VALUE"""),3.0955531E7)</f>
        <v>30955531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IFERROR(__xludf.DUMMYFUNCTION("""COMPUTED_VALUE"""),373.31)</f>
        <v>373.31</v>
      </c>
      <c r="C241" s="2">
        <f>IFERROR(__xludf.DUMMYFUNCTION("""COMPUTED_VALUE"""),373.76)</f>
        <v>373.76</v>
      </c>
      <c r="D241" s="2">
        <f>IFERROR(__xludf.DUMMYFUNCTION("""COMPUTED_VALUE"""),364.13)</f>
        <v>364.13</v>
      </c>
      <c r="E241" s="2">
        <f>IFERROR(__xludf.DUMMYFUNCTION("""COMPUTED_VALUE"""),365.93)</f>
        <v>365.93</v>
      </c>
      <c r="F241" s="2">
        <f>IFERROR(__xludf.DUMMYFUNCTION("""COMPUTED_VALUE"""),4.3277461E7)</f>
        <v>43277461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IFERROR(__xludf.DUMMYFUNCTION("""COMPUTED_VALUE"""),366.85)</f>
        <v>366.85</v>
      </c>
      <c r="C242" s="2">
        <f>IFERROR(__xludf.DUMMYFUNCTION("""COMPUTED_VALUE"""),372.4)</f>
        <v>372.4</v>
      </c>
      <c r="D242" s="2">
        <f>IFERROR(__xludf.DUMMYFUNCTION("""COMPUTED_VALUE"""),366.28)</f>
        <v>366.28</v>
      </c>
      <c r="E242" s="2">
        <f>IFERROR(__xludf.DUMMYFUNCTION("""COMPUTED_VALUE"""),370.73)</f>
        <v>370.73</v>
      </c>
      <c r="F242" s="2">
        <f>IFERROR(__xludf.DUMMYFUNCTION("""COMPUTED_VALUE"""),7.8502324E7)</f>
        <v>78502324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IFERROR(__xludf.DUMMYFUNCTION("""COMPUTED_VALUE"""),369.45)</f>
        <v>369.45</v>
      </c>
      <c r="C243" s="2">
        <f>IFERROR(__xludf.DUMMYFUNCTION("""COMPUTED_VALUE"""),373.0)</f>
        <v>373</v>
      </c>
      <c r="D243" s="2">
        <f>IFERROR(__xludf.DUMMYFUNCTION("""COMPUTED_VALUE"""),368.68)</f>
        <v>368.68</v>
      </c>
      <c r="E243" s="2">
        <f>IFERROR(__xludf.DUMMYFUNCTION("""COMPUTED_VALUE"""),372.65)</f>
        <v>372.65</v>
      </c>
      <c r="F243" s="2">
        <f>IFERROR(__xludf.DUMMYFUNCTION("""COMPUTED_VALUE"""),2.1802878E7)</f>
        <v>21802878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IFERROR(__xludf.DUMMYFUNCTION("""COMPUTED_VALUE"""),371.49)</f>
        <v>371.49</v>
      </c>
      <c r="C244" s="2">
        <f>IFERROR(__xludf.DUMMYFUNCTION("""COMPUTED_VALUE"""),373.26)</f>
        <v>373.26</v>
      </c>
      <c r="D244" s="2">
        <f>IFERROR(__xludf.DUMMYFUNCTION("""COMPUTED_VALUE"""),369.84)</f>
        <v>369.84</v>
      </c>
      <c r="E244" s="2">
        <f>IFERROR(__xludf.DUMMYFUNCTION("""COMPUTED_VALUE"""),373.26)</f>
        <v>373.26</v>
      </c>
      <c r="F244" s="2">
        <f>IFERROR(__xludf.DUMMYFUNCTION("""COMPUTED_VALUE"""),2.0603658E7)</f>
        <v>20603658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IFERROR(__xludf.DUMMYFUNCTION("""COMPUTED_VALUE"""),375.0)</f>
        <v>375</v>
      </c>
      <c r="C245" s="2">
        <f>IFERROR(__xludf.DUMMYFUNCTION("""COMPUTED_VALUE"""),376.03)</f>
        <v>376.03</v>
      </c>
      <c r="D245" s="2">
        <f>IFERROR(__xludf.DUMMYFUNCTION("""COMPUTED_VALUE"""),370.53)</f>
        <v>370.53</v>
      </c>
      <c r="E245" s="2">
        <f>IFERROR(__xludf.DUMMYFUNCTION("""COMPUTED_VALUE"""),370.62)</f>
        <v>370.62</v>
      </c>
      <c r="F245" s="2">
        <f>IFERROR(__xludf.DUMMYFUNCTION("""COMPUTED_VALUE"""),2.631665E7)</f>
        <v>26316650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IFERROR(__xludf.DUMMYFUNCTION("""COMPUTED_VALUE"""),372.56)</f>
        <v>372.56</v>
      </c>
      <c r="C246" s="2">
        <f>IFERROR(__xludf.DUMMYFUNCTION("""COMPUTED_VALUE"""),374.41)</f>
        <v>374.41</v>
      </c>
      <c r="D246" s="2">
        <f>IFERROR(__xludf.DUMMYFUNCTION("""COMPUTED_VALUE"""),370.04)</f>
        <v>370.04</v>
      </c>
      <c r="E246" s="2">
        <f>IFERROR(__xludf.DUMMYFUNCTION("""COMPUTED_VALUE"""),373.54)</f>
        <v>373.54</v>
      </c>
      <c r="F246" s="2">
        <f>IFERROR(__xludf.DUMMYFUNCTION("""COMPUTED_VALUE"""),1.7708006E7)</f>
        <v>17708006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IFERROR(__xludf.DUMMYFUNCTION("""COMPUTED_VALUE"""),373.68)</f>
        <v>373.68</v>
      </c>
      <c r="C247" s="2">
        <f>IFERROR(__xludf.DUMMYFUNCTION("""COMPUTED_VALUE"""),375.18)</f>
        <v>375.18</v>
      </c>
      <c r="D247" s="2">
        <f>IFERROR(__xludf.DUMMYFUNCTION("""COMPUTED_VALUE"""),372.71)</f>
        <v>372.71</v>
      </c>
      <c r="E247" s="2">
        <f>IFERROR(__xludf.DUMMYFUNCTION("""COMPUTED_VALUE"""),374.58)</f>
        <v>374.58</v>
      </c>
      <c r="F247" s="2">
        <f>IFERROR(__xludf.DUMMYFUNCTION("""COMPUTED_VALUE"""),1.7107484E7)</f>
        <v>17107484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IFERROR(__xludf.DUMMYFUNCTION("""COMPUTED_VALUE"""),375.0)</f>
        <v>375</v>
      </c>
      <c r="C248" s="2">
        <f>IFERROR(__xludf.DUMMYFUNCTION("""COMPUTED_VALUE"""),376.94)</f>
        <v>376.94</v>
      </c>
      <c r="D248" s="2">
        <f>IFERROR(__xludf.DUMMYFUNCTION("""COMPUTED_VALUE"""),373.5)</f>
        <v>373.5</v>
      </c>
      <c r="E248" s="2">
        <f>IFERROR(__xludf.DUMMYFUNCTION("""COMPUTED_VALUE"""),374.66)</f>
        <v>374.66</v>
      </c>
      <c r="F248" s="2">
        <f>IFERROR(__xludf.DUMMYFUNCTION("""COMPUTED_VALUE"""),1.267305E7)</f>
        <v>12673050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IFERROR(__xludf.DUMMYFUNCTION("""COMPUTED_VALUE"""),373.69)</f>
        <v>373.69</v>
      </c>
      <c r="C249" s="2">
        <f>IFERROR(__xludf.DUMMYFUNCTION("""COMPUTED_VALUE"""),375.06)</f>
        <v>375.06</v>
      </c>
      <c r="D249" s="2">
        <f>IFERROR(__xludf.DUMMYFUNCTION("""COMPUTED_VALUE"""),372.81)</f>
        <v>372.81</v>
      </c>
      <c r="E249" s="2">
        <f>IFERROR(__xludf.DUMMYFUNCTION("""COMPUTED_VALUE"""),374.07)</f>
        <v>374.07</v>
      </c>
      <c r="F249" s="2">
        <f>IFERROR(__xludf.DUMMYFUNCTION("""COMPUTED_VALUE"""),1.4905412E7)</f>
        <v>14905412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IFERROR(__xludf.DUMMYFUNCTION("""COMPUTED_VALUE"""),375.37)</f>
        <v>375.37</v>
      </c>
      <c r="C250" s="2">
        <f>IFERROR(__xludf.DUMMYFUNCTION("""COMPUTED_VALUE"""),376.46)</f>
        <v>376.46</v>
      </c>
      <c r="D250" s="2">
        <f>IFERROR(__xludf.DUMMYFUNCTION("""COMPUTED_VALUE"""),374.16)</f>
        <v>374.16</v>
      </c>
      <c r="E250" s="2">
        <f>IFERROR(__xludf.DUMMYFUNCTION("""COMPUTED_VALUE"""),375.28)</f>
        <v>375.28</v>
      </c>
      <c r="F250" s="2">
        <f>IFERROR(__xludf.DUMMYFUNCTION("""COMPUTED_VALUE"""),1.4327013E7)</f>
        <v>14327013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IFERROR(__xludf.DUMMYFUNCTION("""COMPUTED_VALUE"""),376.0)</f>
        <v>376</v>
      </c>
      <c r="C251" s="2">
        <f>IFERROR(__xludf.DUMMYFUNCTION("""COMPUTED_VALUE"""),377.16)</f>
        <v>377.16</v>
      </c>
      <c r="D251" s="2">
        <f>IFERROR(__xludf.DUMMYFUNCTION("""COMPUTED_VALUE"""),373.48)</f>
        <v>373.48</v>
      </c>
      <c r="E251" s="2">
        <f>IFERROR(__xludf.DUMMYFUNCTION("""COMPUTED_VALUE"""),376.04)</f>
        <v>376.04</v>
      </c>
      <c r="F251" s="2">
        <f>IFERROR(__xludf.DUMMYFUNCTION("""COMPUTED_VALUE"""),1.8730838E7)</f>
        <v>18730838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IFERROR(__xludf.DUMMYFUNCTION("""COMPUTED_VALUE"""),373.86)</f>
        <v>373.86</v>
      </c>
      <c r="C252" s="2">
        <f>IFERROR(__xludf.DUMMYFUNCTION("""COMPUTED_VALUE"""),375.9)</f>
        <v>375.9</v>
      </c>
      <c r="D252" s="2">
        <f>IFERROR(__xludf.DUMMYFUNCTION("""COMPUTED_VALUE"""),366.77)</f>
        <v>366.77</v>
      </c>
      <c r="E252" s="2">
        <f>IFERROR(__xludf.DUMMYFUNCTION("""COMPUTED_VALUE"""),370.87)</f>
        <v>370.87</v>
      </c>
      <c r="F252" s="2">
        <f>IFERROR(__xludf.DUMMYFUNCTION("""COMPUTED_VALUE"""),2.5258633E7)</f>
        <v>25258633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IFERROR(__xludf.DUMMYFUNCTION("""COMPUTED_VALUE"""),369.01)</f>
        <v>369.01</v>
      </c>
      <c r="C253" s="2">
        <f>IFERROR(__xludf.DUMMYFUNCTION("""COMPUTED_VALUE"""),373.26)</f>
        <v>373.26</v>
      </c>
      <c r="D253" s="2">
        <f>IFERROR(__xludf.DUMMYFUNCTION("""COMPUTED_VALUE"""),368.51)</f>
        <v>368.51</v>
      </c>
      <c r="E253" s="2">
        <f>IFERROR(__xludf.DUMMYFUNCTION("""COMPUTED_VALUE"""),370.6)</f>
        <v>370.6</v>
      </c>
      <c r="F253" s="2">
        <f>IFERROR(__xludf.DUMMYFUNCTION("""COMPUTED_VALUE"""),2.3083465E7)</f>
        <v>23083465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IFERROR(__xludf.DUMMYFUNCTION("""COMPUTED_VALUE"""),370.67)</f>
        <v>370.67</v>
      </c>
      <c r="C254" s="2">
        <f>IFERROR(__xludf.DUMMYFUNCTION("""COMPUTED_VALUE"""),373.1)</f>
        <v>373.1</v>
      </c>
      <c r="D254" s="2">
        <f>IFERROR(__xludf.DUMMYFUNCTION("""COMPUTED_VALUE"""),367.17)</f>
        <v>367.17</v>
      </c>
      <c r="E254" s="2">
        <f>IFERROR(__xludf.DUMMYFUNCTION("""COMPUTED_VALUE"""),367.94)</f>
        <v>367.94</v>
      </c>
      <c r="F254" s="2">
        <f>IFERROR(__xludf.DUMMYFUNCTION("""COMPUTED_VALUE"""),2.0901502E7)</f>
        <v>20901502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IFERROR(__xludf.DUMMYFUNCTION("""COMPUTED_VALUE"""),368.97)</f>
        <v>368.97</v>
      </c>
      <c r="C255" s="2">
        <f>IFERROR(__xludf.DUMMYFUNCTION("""COMPUTED_VALUE"""),372.06)</f>
        <v>372.06</v>
      </c>
      <c r="D255" s="2">
        <f>IFERROR(__xludf.DUMMYFUNCTION("""COMPUTED_VALUE"""),366.5)</f>
        <v>366.5</v>
      </c>
      <c r="E255" s="2">
        <f>IFERROR(__xludf.DUMMYFUNCTION("""COMPUTED_VALUE"""),367.75)</f>
        <v>367.75</v>
      </c>
      <c r="F255" s="2">
        <f>IFERROR(__xludf.DUMMYFUNCTION("""COMPUTED_VALUE"""),2.1004575E7)</f>
        <v>21004575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IFERROR(__xludf.DUMMYFUNCTION("""COMPUTED_VALUE"""),369.3)</f>
        <v>369.3</v>
      </c>
      <c r="C256" s="2">
        <f>IFERROR(__xludf.DUMMYFUNCTION("""COMPUTED_VALUE"""),375.2)</f>
        <v>375.2</v>
      </c>
      <c r="D256" s="2">
        <f>IFERROR(__xludf.DUMMYFUNCTION("""COMPUTED_VALUE"""),369.01)</f>
        <v>369.01</v>
      </c>
      <c r="E256" s="2">
        <f>IFERROR(__xludf.DUMMYFUNCTION("""COMPUTED_VALUE"""),374.69)</f>
        <v>374.69</v>
      </c>
      <c r="F256" s="2">
        <f>IFERROR(__xludf.DUMMYFUNCTION("""COMPUTED_VALUE"""),2.3133967E7)</f>
        <v>23133967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IFERROR(__xludf.DUMMYFUNCTION("""COMPUTED_VALUE"""),372.01)</f>
        <v>372.01</v>
      </c>
      <c r="C257" s="2">
        <f>IFERROR(__xludf.DUMMYFUNCTION("""COMPUTED_VALUE"""),375.99)</f>
        <v>375.99</v>
      </c>
      <c r="D257" s="2">
        <f>IFERROR(__xludf.DUMMYFUNCTION("""COMPUTED_VALUE"""),371.19)</f>
        <v>371.19</v>
      </c>
      <c r="E257" s="2">
        <f>IFERROR(__xludf.DUMMYFUNCTION("""COMPUTED_VALUE"""),375.79)</f>
        <v>375.79</v>
      </c>
      <c r="F257" s="2">
        <f>IFERROR(__xludf.DUMMYFUNCTION("""COMPUTED_VALUE"""),2.0829953E7)</f>
        <v>20829953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IFERROR(__xludf.DUMMYFUNCTION("""COMPUTED_VALUE"""),376.37)</f>
        <v>376.37</v>
      </c>
      <c r="C258" s="2">
        <f>IFERROR(__xludf.DUMMYFUNCTION("""COMPUTED_VALUE"""),384.17)</f>
        <v>384.17</v>
      </c>
      <c r="D258" s="2">
        <f>IFERROR(__xludf.DUMMYFUNCTION("""COMPUTED_VALUE"""),376.32)</f>
        <v>376.32</v>
      </c>
      <c r="E258" s="2">
        <f>IFERROR(__xludf.DUMMYFUNCTION("""COMPUTED_VALUE"""),382.77)</f>
        <v>382.77</v>
      </c>
      <c r="F258" s="2">
        <f>IFERROR(__xludf.DUMMYFUNCTION("""COMPUTED_VALUE"""),2.5514245E7)</f>
        <v>25514245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IFERROR(__xludf.DUMMYFUNCTION("""COMPUTED_VALUE"""),386.0)</f>
        <v>386</v>
      </c>
      <c r="C259" s="2">
        <f>IFERROR(__xludf.DUMMYFUNCTION("""COMPUTED_VALUE"""),390.68)</f>
        <v>390.68</v>
      </c>
      <c r="D259" s="2">
        <f>IFERROR(__xludf.DUMMYFUNCTION("""COMPUTED_VALUE"""),380.38)</f>
        <v>380.38</v>
      </c>
      <c r="E259" s="2">
        <f>IFERROR(__xludf.DUMMYFUNCTION("""COMPUTED_VALUE"""),384.63)</f>
        <v>384.63</v>
      </c>
      <c r="F259" s="2">
        <f>IFERROR(__xludf.DUMMYFUNCTION("""COMPUTED_VALUE"""),2.7850846E7)</f>
        <v>27850846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IFERROR(__xludf.DUMMYFUNCTION("""COMPUTED_VALUE"""),385.49)</f>
        <v>385.49</v>
      </c>
      <c r="C260" s="2">
        <f>IFERROR(__xludf.DUMMYFUNCTION("""COMPUTED_VALUE"""),388.68)</f>
        <v>388.68</v>
      </c>
      <c r="D260" s="2">
        <f>IFERROR(__xludf.DUMMYFUNCTION("""COMPUTED_VALUE"""),384.65)</f>
        <v>384.65</v>
      </c>
      <c r="E260" s="2">
        <f>IFERROR(__xludf.DUMMYFUNCTION("""COMPUTED_VALUE"""),388.47)</f>
        <v>388.47</v>
      </c>
      <c r="F260" s="2">
        <f>IFERROR(__xludf.DUMMYFUNCTION("""COMPUTED_VALUE"""),2.1661153E7)</f>
        <v>21661153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IFERROR(__xludf.DUMMYFUNCTION("""COMPUTED_VALUE"""),393.66)</f>
        <v>393.66</v>
      </c>
      <c r="C261" s="2">
        <f>IFERROR(__xludf.DUMMYFUNCTION("""COMPUTED_VALUE"""),394.03)</f>
        <v>394.03</v>
      </c>
      <c r="D261" s="2">
        <f>IFERROR(__xludf.DUMMYFUNCTION("""COMPUTED_VALUE"""),387.62)</f>
        <v>387.62</v>
      </c>
      <c r="E261" s="2">
        <f>IFERROR(__xludf.DUMMYFUNCTION("""COMPUTED_VALUE"""),390.27)</f>
        <v>390.27</v>
      </c>
      <c r="F261" s="2">
        <f>IFERROR(__xludf.DUMMYFUNCTION("""COMPUTED_VALUE"""),2.7202268E7)</f>
        <v>27202268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IFERROR(__xludf.DUMMYFUNCTION("""COMPUTED_VALUE"""),387.98)</f>
        <v>387.98</v>
      </c>
      <c r="C262" s="2">
        <f>IFERROR(__xludf.DUMMYFUNCTION("""COMPUTED_VALUE"""),390.11)</f>
        <v>390.11</v>
      </c>
      <c r="D262" s="2">
        <f>IFERROR(__xludf.DUMMYFUNCTION("""COMPUTED_VALUE"""),384.81)</f>
        <v>384.81</v>
      </c>
      <c r="E262" s="2">
        <f>IFERROR(__xludf.DUMMYFUNCTION("""COMPUTED_VALUE"""),389.47)</f>
        <v>389.47</v>
      </c>
      <c r="F262" s="2">
        <f>IFERROR(__xludf.DUMMYFUNCTION("""COMPUTED_VALUE"""),2.2234108E7)</f>
        <v>22234108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IFERROR(__xludf.DUMMYFUNCTION("""COMPUTED_VALUE"""),391.72)</f>
        <v>391.72</v>
      </c>
      <c r="C263" s="2">
        <f>IFERROR(__xludf.DUMMYFUNCTION("""COMPUTED_VALUE"""),393.99)</f>
        <v>393.99</v>
      </c>
      <c r="D263" s="2">
        <f>IFERROR(__xludf.DUMMYFUNCTION("""COMPUTED_VALUE"""),390.12)</f>
        <v>390.12</v>
      </c>
      <c r="E263" s="2">
        <f>IFERROR(__xludf.DUMMYFUNCTION("""COMPUTED_VALUE"""),393.87)</f>
        <v>393.87</v>
      </c>
      <c r="F263" s="2">
        <f>IFERROR(__xludf.DUMMYFUNCTION("""COMPUTED_VALUE"""),2.3392068E7)</f>
        <v>23392068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IFERROR(__xludf.DUMMYFUNCTION("""COMPUTED_VALUE"""),395.76)</f>
        <v>395.76</v>
      </c>
      <c r="C264" s="2">
        <f>IFERROR(__xludf.DUMMYFUNCTION("""COMPUTED_VALUE"""),398.67)</f>
        <v>398.67</v>
      </c>
      <c r="D264" s="2">
        <f>IFERROR(__xludf.DUMMYFUNCTION("""COMPUTED_VALUE"""),393.5)</f>
        <v>393.5</v>
      </c>
      <c r="E264" s="2">
        <f>IFERROR(__xludf.DUMMYFUNCTION("""COMPUTED_VALUE"""),398.67)</f>
        <v>398.67</v>
      </c>
      <c r="F264" s="2">
        <f>IFERROR(__xludf.DUMMYFUNCTION("""COMPUTED_VALUE"""),2.9331136E7)</f>
        <v>29331136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IFERROR(__xludf.DUMMYFUNCTION("""COMPUTED_VALUE"""),400.02)</f>
        <v>400.02</v>
      </c>
      <c r="C265" s="2">
        <f>IFERROR(__xludf.DUMMYFUNCTION("""COMPUTED_VALUE"""),400.62)</f>
        <v>400.62</v>
      </c>
      <c r="D265" s="2">
        <f>IFERROR(__xludf.DUMMYFUNCTION("""COMPUTED_VALUE"""),393.59)</f>
        <v>393.59</v>
      </c>
      <c r="E265" s="2">
        <f>IFERROR(__xludf.DUMMYFUNCTION("""COMPUTED_VALUE"""),396.51)</f>
        <v>396.51</v>
      </c>
      <c r="F265" s="2">
        <f>IFERROR(__xludf.DUMMYFUNCTION("""COMPUTED_VALUE"""),2.7016902E7)</f>
        <v>27016902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IFERROR(__xludf.DUMMYFUNCTION("""COMPUTED_VALUE"""),395.75)</f>
        <v>395.75</v>
      </c>
      <c r="C266" s="2">
        <f>IFERROR(__xludf.DUMMYFUNCTION("""COMPUTED_VALUE"""),399.38)</f>
        <v>399.38</v>
      </c>
      <c r="D266" s="2">
        <f>IFERROR(__xludf.DUMMYFUNCTION("""COMPUTED_VALUE"""),393.93)</f>
        <v>393.93</v>
      </c>
      <c r="E266" s="2">
        <f>IFERROR(__xludf.DUMMYFUNCTION("""COMPUTED_VALUE"""),398.9)</f>
        <v>398.9</v>
      </c>
      <c r="F266" s="2">
        <f>IFERROR(__xludf.DUMMYFUNCTION("""COMPUTED_VALUE"""),2.0525882E7)</f>
        <v>20525882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IFERROR(__xludf.DUMMYFUNCTION("""COMPUTED_VALUE"""),401.54)</f>
        <v>401.54</v>
      </c>
      <c r="C267" s="2">
        <f>IFERROR(__xludf.DUMMYFUNCTION("""COMPUTED_VALUE"""),405.63)</f>
        <v>405.63</v>
      </c>
      <c r="D267" s="2">
        <f>IFERROR(__xludf.DUMMYFUNCTION("""COMPUTED_VALUE"""),400.45)</f>
        <v>400.45</v>
      </c>
      <c r="E267" s="2">
        <f>IFERROR(__xludf.DUMMYFUNCTION("""COMPUTED_VALUE"""),402.56)</f>
        <v>402.56</v>
      </c>
      <c r="F267" s="2">
        <f>IFERROR(__xludf.DUMMYFUNCTION("""COMPUTED_VALUE"""),2.4866953E7)</f>
        <v>24866953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IFERROR(__xludf.DUMMYFUNCTION("""COMPUTED_VALUE"""),404.32)</f>
        <v>404.32</v>
      </c>
      <c r="C268" s="2">
        <f>IFERROR(__xludf.DUMMYFUNCTION("""COMPUTED_VALUE"""),407.01)</f>
        <v>407.01</v>
      </c>
      <c r="D268" s="2">
        <f>IFERROR(__xludf.DUMMYFUNCTION("""COMPUTED_VALUE"""),402.53)</f>
        <v>402.53</v>
      </c>
      <c r="E268" s="2">
        <f>IFERROR(__xludf.DUMMYFUNCTION("""COMPUTED_VALUE"""),404.87)</f>
        <v>404.87</v>
      </c>
      <c r="F268" s="2">
        <f>IFERROR(__xludf.DUMMYFUNCTION("""COMPUTED_VALUE"""),2.1021155E7)</f>
        <v>21021155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IFERROR(__xludf.DUMMYFUNCTION("""COMPUTED_VALUE"""),404.37)</f>
        <v>404.37</v>
      </c>
      <c r="C269" s="2">
        <f>IFERROR(__xludf.DUMMYFUNCTION("""COMPUTED_VALUE"""),406.17)</f>
        <v>406.17</v>
      </c>
      <c r="D269" s="2">
        <f>IFERROR(__xludf.DUMMYFUNCTION("""COMPUTED_VALUE"""),402.43)</f>
        <v>402.43</v>
      </c>
      <c r="E269" s="2">
        <f>IFERROR(__xludf.DUMMYFUNCTION("""COMPUTED_VALUE"""),403.93)</f>
        <v>403.93</v>
      </c>
      <c r="F269" s="2">
        <f>IFERROR(__xludf.DUMMYFUNCTION("""COMPUTED_VALUE"""),1.7803271E7)</f>
        <v>17803271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IFERROR(__xludf.DUMMYFUNCTION("""COMPUTED_VALUE"""),406.06)</f>
        <v>406.06</v>
      </c>
      <c r="C270" s="2">
        <f>IFERROR(__xludf.DUMMYFUNCTION("""COMPUTED_VALUE"""),409.98)</f>
        <v>409.98</v>
      </c>
      <c r="D270" s="2">
        <f>IFERROR(__xludf.DUMMYFUNCTION("""COMPUTED_VALUE"""),404.33)</f>
        <v>404.33</v>
      </c>
      <c r="E270" s="2">
        <f>IFERROR(__xludf.DUMMYFUNCTION("""COMPUTED_VALUE"""),409.72)</f>
        <v>409.72</v>
      </c>
      <c r="F270" s="2">
        <f>IFERROR(__xludf.DUMMYFUNCTION("""COMPUTED_VALUE"""),2.4510236E7)</f>
        <v>24510236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IFERROR(__xludf.DUMMYFUNCTION("""COMPUTED_VALUE"""),412.26)</f>
        <v>412.26</v>
      </c>
      <c r="C271" s="2">
        <f>IFERROR(__xludf.DUMMYFUNCTION("""COMPUTED_VALUE"""),413.05)</f>
        <v>413.05</v>
      </c>
      <c r="D271" s="2">
        <f>IFERROR(__xludf.DUMMYFUNCTION("""COMPUTED_VALUE"""),406.45)</f>
        <v>406.45</v>
      </c>
      <c r="E271" s="2">
        <f>IFERROR(__xludf.DUMMYFUNCTION("""COMPUTED_VALUE"""),408.59)</f>
        <v>408.59</v>
      </c>
      <c r="F271" s="2">
        <f>IFERROR(__xludf.DUMMYFUNCTION("""COMPUTED_VALUE"""),3.347761E7)</f>
        <v>33477610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IFERROR(__xludf.DUMMYFUNCTION("""COMPUTED_VALUE"""),406.96)</f>
        <v>406.96</v>
      </c>
      <c r="C272" s="2">
        <f>IFERROR(__xludf.DUMMYFUNCTION("""COMPUTED_VALUE"""),415.32)</f>
        <v>415.32</v>
      </c>
      <c r="D272" s="2">
        <f>IFERROR(__xludf.DUMMYFUNCTION("""COMPUTED_VALUE"""),397.21)</f>
        <v>397.21</v>
      </c>
      <c r="E272" s="2">
        <f>IFERROR(__xludf.DUMMYFUNCTION("""COMPUTED_VALUE"""),397.58)</f>
        <v>397.58</v>
      </c>
      <c r="F272" s="2">
        <f>IFERROR(__xludf.DUMMYFUNCTION("""COMPUTED_VALUE"""),4.7871097E7)</f>
        <v>47871097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IFERROR(__xludf.DUMMYFUNCTION("""COMPUTED_VALUE"""),401.83)</f>
        <v>401.83</v>
      </c>
      <c r="C273" s="2">
        <f>IFERROR(__xludf.DUMMYFUNCTION("""COMPUTED_VALUE"""),408.0)</f>
        <v>408</v>
      </c>
      <c r="D273" s="2">
        <f>IFERROR(__xludf.DUMMYFUNCTION("""COMPUTED_VALUE"""),401.8)</f>
        <v>401.8</v>
      </c>
      <c r="E273" s="2">
        <f>IFERROR(__xludf.DUMMYFUNCTION("""COMPUTED_VALUE"""),403.78)</f>
        <v>403.78</v>
      </c>
      <c r="F273" s="2">
        <f>IFERROR(__xludf.DUMMYFUNCTION("""COMPUTED_VALUE"""),3.0657726E7)</f>
        <v>30657726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IFERROR(__xludf.DUMMYFUNCTION("""COMPUTED_VALUE"""),403.81)</f>
        <v>403.81</v>
      </c>
      <c r="C274" s="2">
        <f>IFERROR(__xludf.DUMMYFUNCTION("""COMPUTED_VALUE"""),412.65)</f>
        <v>412.65</v>
      </c>
      <c r="D274" s="2">
        <f>IFERROR(__xludf.DUMMYFUNCTION("""COMPUTED_VALUE"""),403.56)</f>
        <v>403.56</v>
      </c>
      <c r="E274" s="2">
        <f>IFERROR(__xludf.DUMMYFUNCTION("""COMPUTED_VALUE"""),411.22)</f>
        <v>411.22</v>
      </c>
      <c r="F274" s="2">
        <f>IFERROR(__xludf.DUMMYFUNCTION("""COMPUTED_VALUE"""),2.825667E7)</f>
        <v>28256670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IFERROR(__xludf.DUMMYFUNCTION("""COMPUTED_VALUE"""),409.9)</f>
        <v>409.9</v>
      </c>
      <c r="C275" s="2">
        <f>IFERROR(__xludf.DUMMYFUNCTION("""COMPUTED_VALUE"""),411.16)</f>
        <v>411.16</v>
      </c>
      <c r="D275" s="2">
        <f>IFERROR(__xludf.DUMMYFUNCTION("""COMPUTED_VALUE"""),403.99)</f>
        <v>403.99</v>
      </c>
      <c r="E275" s="2">
        <f>IFERROR(__xludf.DUMMYFUNCTION("""COMPUTED_VALUE"""),405.65)</f>
        <v>405.65</v>
      </c>
      <c r="F275" s="2">
        <f>IFERROR(__xludf.DUMMYFUNCTION("""COMPUTED_VALUE"""),2.5352286E7)</f>
        <v>25352286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IFERROR(__xludf.DUMMYFUNCTION("""COMPUTED_VALUE"""),405.88)</f>
        <v>405.88</v>
      </c>
      <c r="C276" s="2">
        <f>IFERROR(__xludf.DUMMYFUNCTION("""COMPUTED_VALUE"""),407.97)</f>
        <v>407.97</v>
      </c>
      <c r="D276" s="2">
        <f>IFERROR(__xludf.DUMMYFUNCTION("""COMPUTED_VALUE"""),402.91)</f>
        <v>402.91</v>
      </c>
      <c r="E276" s="2">
        <f>IFERROR(__xludf.DUMMYFUNCTION("""COMPUTED_VALUE"""),405.49)</f>
        <v>405.49</v>
      </c>
      <c r="F276" s="2">
        <f>IFERROR(__xludf.DUMMYFUNCTION("""COMPUTED_VALUE"""),1.8382624E7)</f>
        <v>18382624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IFERROR(__xludf.DUMMYFUNCTION("""COMPUTED_VALUE"""),407.44)</f>
        <v>407.44</v>
      </c>
      <c r="C277" s="2">
        <f>IFERROR(__xludf.DUMMYFUNCTION("""COMPUTED_VALUE"""),414.3)</f>
        <v>414.3</v>
      </c>
      <c r="D277" s="2">
        <f>IFERROR(__xludf.DUMMYFUNCTION("""COMPUTED_VALUE"""),407.4)</f>
        <v>407.4</v>
      </c>
      <c r="E277" s="2">
        <f>IFERROR(__xludf.DUMMYFUNCTION("""COMPUTED_VALUE"""),414.05)</f>
        <v>414.05</v>
      </c>
      <c r="F277" s="2">
        <f>IFERROR(__xludf.DUMMYFUNCTION("""COMPUTED_VALUE"""),2.2340526E7)</f>
        <v>22340526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IFERROR(__xludf.DUMMYFUNCTION("""COMPUTED_VALUE"""),414.05)</f>
        <v>414.05</v>
      </c>
      <c r="C278" s="2">
        <f>IFERROR(__xludf.DUMMYFUNCTION("""COMPUTED_VALUE"""),415.56)</f>
        <v>415.56</v>
      </c>
      <c r="D278" s="2">
        <f>IFERROR(__xludf.DUMMYFUNCTION("""COMPUTED_VALUE"""),412.53)</f>
        <v>412.53</v>
      </c>
      <c r="E278" s="2">
        <f>IFERROR(__xludf.DUMMYFUNCTION("""COMPUTED_VALUE"""),414.11)</f>
        <v>414.11</v>
      </c>
      <c r="F278" s="2">
        <f>IFERROR(__xludf.DUMMYFUNCTION("""COMPUTED_VALUE"""),2.1225257E7)</f>
        <v>21225257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IFERROR(__xludf.DUMMYFUNCTION("""COMPUTED_VALUE"""),415.25)</f>
        <v>415.25</v>
      </c>
      <c r="C279" s="2">
        <f>IFERROR(__xludf.DUMMYFUNCTION("""COMPUTED_VALUE"""),420.82)</f>
        <v>420.82</v>
      </c>
      <c r="D279" s="2">
        <f>IFERROR(__xludf.DUMMYFUNCTION("""COMPUTED_VALUE"""),415.09)</f>
        <v>415.09</v>
      </c>
      <c r="E279" s="2">
        <f>IFERROR(__xludf.DUMMYFUNCTION("""COMPUTED_VALUE"""),420.55)</f>
        <v>420.55</v>
      </c>
      <c r="F279" s="2">
        <f>IFERROR(__xludf.DUMMYFUNCTION("""COMPUTED_VALUE"""),2.2032844E7)</f>
        <v>22032844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IFERROR(__xludf.DUMMYFUNCTION("""COMPUTED_VALUE"""),420.56)</f>
        <v>420.56</v>
      </c>
      <c r="C280" s="2">
        <f>IFERROR(__xludf.DUMMYFUNCTION("""COMPUTED_VALUE"""),420.74)</f>
        <v>420.74</v>
      </c>
      <c r="D280" s="2">
        <f>IFERROR(__xludf.DUMMYFUNCTION("""COMPUTED_VALUE"""),414.75)</f>
        <v>414.75</v>
      </c>
      <c r="E280" s="2">
        <f>IFERROR(__xludf.DUMMYFUNCTION("""COMPUTED_VALUE"""),415.26)</f>
        <v>415.26</v>
      </c>
      <c r="F280" s="2">
        <f>IFERROR(__xludf.DUMMYFUNCTION("""COMPUTED_VALUE"""),2.1202921E7)</f>
        <v>21202921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IFERROR(__xludf.DUMMYFUNCTION("""COMPUTED_VALUE"""),404.94)</f>
        <v>404.94</v>
      </c>
      <c r="C281" s="2">
        <f>IFERROR(__xludf.DUMMYFUNCTION("""COMPUTED_VALUE"""),410.07)</f>
        <v>410.07</v>
      </c>
      <c r="D281" s="2">
        <f>IFERROR(__xludf.DUMMYFUNCTION("""COMPUTED_VALUE"""),403.39)</f>
        <v>403.39</v>
      </c>
      <c r="E281" s="2">
        <f>IFERROR(__xludf.DUMMYFUNCTION("""COMPUTED_VALUE"""),406.32)</f>
        <v>406.32</v>
      </c>
      <c r="F281" s="2">
        <f>IFERROR(__xludf.DUMMYFUNCTION("""COMPUTED_VALUE"""),2.7824936E7)</f>
        <v>27824936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IFERROR(__xludf.DUMMYFUNCTION("""COMPUTED_VALUE"""),408.07)</f>
        <v>408.07</v>
      </c>
      <c r="C282" s="2">
        <f>IFERROR(__xludf.DUMMYFUNCTION("""COMPUTED_VALUE"""),409.84)</f>
        <v>409.84</v>
      </c>
      <c r="D282" s="2">
        <f>IFERROR(__xludf.DUMMYFUNCTION("""COMPUTED_VALUE"""),404.57)</f>
        <v>404.57</v>
      </c>
      <c r="E282" s="2">
        <f>IFERROR(__xludf.DUMMYFUNCTION("""COMPUTED_VALUE"""),409.49)</f>
        <v>409.49</v>
      </c>
      <c r="F282" s="2">
        <f>IFERROR(__xludf.DUMMYFUNCTION("""COMPUTED_VALUE"""),2.040119E7)</f>
        <v>20401190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IFERROR(__xludf.DUMMYFUNCTION("""COMPUTED_VALUE"""),408.14)</f>
        <v>408.14</v>
      </c>
      <c r="C283" s="2">
        <f>IFERROR(__xludf.DUMMYFUNCTION("""COMPUTED_VALUE"""),409.13)</f>
        <v>409.13</v>
      </c>
      <c r="D283" s="2">
        <f>IFERROR(__xludf.DUMMYFUNCTION("""COMPUTED_VALUE"""),404.29)</f>
        <v>404.29</v>
      </c>
      <c r="E283" s="2">
        <f>IFERROR(__xludf.DUMMYFUNCTION("""COMPUTED_VALUE"""),406.56)</f>
        <v>406.56</v>
      </c>
      <c r="F283" s="2">
        <f>IFERROR(__xludf.DUMMYFUNCTION("""COMPUTED_VALUE"""),2.1825525E7)</f>
        <v>21825525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IFERROR(__xludf.DUMMYFUNCTION("""COMPUTED_VALUE"""),407.96)</f>
        <v>407.96</v>
      </c>
      <c r="C284" s="2">
        <f>IFERROR(__xludf.DUMMYFUNCTION("""COMPUTED_VALUE"""),408.29)</f>
        <v>408.29</v>
      </c>
      <c r="D284" s="2">
        <f>IFERROR(__xludf.DUMMYFUNCTION("""COMPUTED_VALUE"""),403.44)</f>
        <v>403.44</v>
      </c>
      <c r="E284" s="2">
        <f>IFERROR(__xludf.DUMMYFUNCTION("""COMPUTED_VALUE"""),404.06)</f>
        <v>404.06</v>
      </c>
      <c r="F284" s="2">
        <f>IFERROR(__xludf.DUMMYFUNCTION("""COMPUTED_VALUE"""),2.2296495E7)</f>
        <v>22296495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IFERROR(__xludf.DUMMYFUNCTION("""COMPUTED_VALUE"""),403.24)</f>
        <v>403.24</v>
      </c>
      <c r="C285" s="2">
        <f>IFERROR(__xludf.DUMMYFUNCTION("""COMPUTED_VALUE"""),404.49)</f>
        <v>404.49</v>
      </c>
      <c r="D285" s="2">
        <f>IFERROR(__xludf.DUMMYFUNCTION("""COMPUTED_VALUE"""),398.01)</f>
        <v>398.01</v>
      </c>
      <c r="E285" s="2">
        <f>IFERROR(__xludf.DUMMYFUNCTION("""COMPUTED_VALUE"""),402.79)</f>
        <v>402.79</v>
      </c>
      <c r="F285" s="2">
        <f>IFERROR(__xludf.DUMMYFUNCTION("""COMPUTED_VALUE"""),2.4307915E7)</f>
        <v>24307915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IFERROR(__xludf.DUMMYFUNCTION("""COMPUTED_VALUE"""),400.17)</f>
        <v>400.17</v>
      </c>
      <c r="C286" s="2">
        <f>IFERROR(__xludf.DUMMYFUNCTION("""COMPUTED_VALUE"""),402.29)</f>
        <v>402.29</v>
      </c>
      <c r="D286" s="2">
        <f>IFERROR(__xludf.DUMMYFUNCTION("""COMPUTED_VALUE"""),397.22)</f>
        <v>397.22</v>
      </c>
      <c r="E286" s="2">
        <f>IFERROR(__xludf.DUMMYFUNCTION("""COMPUTED_VALUE"""),402.18)</f>
        <v>402.18</v>
      </c>
      <c r="F286" s="2">
        <f>IFERROR(__xludf.DUMMYFUNCTION("""COMPUTED_VALUE"""),1.8631072E7)</f>
        <v>18631072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IFERROR(__xludf.DUMMYFUNCTION("""COMPUTED_VALUE"""),410.19)</f>
        <v>410.19</v>
      </c>
      <c r="C287" s="2">
        <f>IFERROR(__xludf.DUMMYFUNCTION("""COMPUTED_VALUE"""),412.83)</f>
        <v>412.83</v>
      </c>
      <c r="D287" s="2">
        <f>IFERROR(__xludf.DUMMYFUNCTION("""COMPUTED_VALUE"""),408.57)</f>
        <v>408.57</v>
      </c>
      <c r="E287" s="2">
        <f>IFERROR(__xludf.DUMMYFUNCTION("""COMPUTED_VALUE"""),411.65)</f>
        <v>411.65</v>
      </c>
      <c r="F287" s="2">
        <f>IFERROR(__xludf.DUMMYFUNCTION("""COMPUTED_VALUE"""),2.7009869E7)</f>
        <v>27009869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IFERROR(__xludf.DUMMYFUNCTION("""COMPUTED_VALUE"""),415.67)</f>
        <v>415.67</v>
      </c>
      <c r="C288" s="2">
        <f>IFERROR(__xludf.DUMMYFUNCTION("""COMPUTED_VALUE"""),415.86)</f>
        <v>415.86</v>
      </c>
      <c r="D288" s="2">
        <f>IFERROR(__xludf.DUMMYFUNCTION("""COMPUTED_VALUE"""),408.97)</f>
        <v>408.97</v>
      </c>
      <c r="E288" s="2">
        <f>IFERROR(__xludf.DUMMYFUNCTION("""COMPUTED_VALUE"""),410.34)</f>
        <v>410.34</v>
      </c>
      <c r="F288" s="2">
        <f>IFERROR(__xludf.DUMMYFUNCTION("""COMPUTED_VALUE"""),1.6295879E7)</f>
        <v>16295879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IFERROR(__xludf.DUMMYFUNCTION("""COMPUTED_VALUE"""),411.46)</f>
        <v>411.46</v>
      </c>
      <c r="C289" s="2">
        <f>IFERROR(__xludf.DUMMYFUNCTION("""COMPUTED_VALUE"""),412.16)</f>
        <v>412.16</v>
      </c>
      <c r="D289" s="2">
        <f>IFERROR(__xludf.DUMMYFUNCTION("""COMPUTED_VALUE"""),407.36)</f>
        <v>407.36</v>
      </c>
      <c r="E289" s="2">
        <f>IFERROR(__xludf.DUMMYFUNCTION("""COMPUTED_VALUE"""),407.54)</f>
        <v>407.54</v>
      </c>
      <c r="F289" s="2">
        <f>IFERROR(__xludf.DUMMYFUNCTION("""COMPUTED_VALUE"""),1.6193505E7)</f>
        <v>16193505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IFERROR(__xludf.DUMMYFUNCTION("""COMPUTED_VALUE"""),407.99)</f>
        <v>407.99</v>
      </c>
      <c r="C290" s="2">
        <f>IFERROR(__xludf.DUMMYFUNCTION("""COMPUTED_VALUE"""),408.32)</f>
        <v>408.32</v>
      </c>
      <c r="D290" s="2">
        <f>IFERROR(__xludf.DUMMYFUNCTION("""COMPUTED_VALUE"""),403.85)</f>
        <v>403.85</v>
      </c>
      <c r="E290" s="2">
        <f>IFERROR(__xludf.DUMMYFUNCTION("""COMPUTED_VALUE"""),407.48)</f>
        <v>407.48</v>
      </c>
      <c r="F290" s="2">
        <f>IFERROR(__xludf.DUMMYFUNCTION("""COMPUTED_VALUE"""),1.4835827E7)</f>
        <v>14835827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IFERROR(__xludf.DUMMYFUNCTION("""COMPUTED_VALUE"""),408.18)</f>
        <v>408.18</v>
      </c>
      <c r="C291" s="2">
        <f>IFERROR(__xludf.DUMMYFUNCTION("""COMPUTED_VALUE"""),409.3)</f>
        <v>409.3</v>
      </c>
      <c r="D291" s="2">
        <f>IFERROR(__xludf.DUMMYFUNCTION("""COMPUTED_VALUE"""),405.32)</f>
        <v>405.32</v>
      </c>
      <c r="E291" s="2">
        <f>IFERROR(__xludf.DUMMYFUNCTION("""COMPUTED_VALUE"""),407.72)</f>
        <v>407.72</v>
      </c>
      <c r="F291" s="2">
        <f>IFERROR(__xludf.DUMMYFUNCTION("""COMPUTED_VALUE"""),1.3183125E7)</f>
        <v>13183125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IFERROR(__xludf.DUMMYFUNCTION("""COMPUTED_VALUE"""),408.64)</f>
        <v>408.64</v>
      </c>
      <c r="C292" s="2">
        <f>IFERROR(__xludf.DUMMYFUNCTION("""COMPUTED_VALUE"""),414.2)</f>
        <v>414.2</v>
      </c>
      <c r="D292" s="2">
        <f>IFERROR(__xludf.DUMMYFUNCTION("""COMPUTED_VALUE"""),405.92)</f>
        <v>405.92</v>
      </c>
      <c r="E292" s="2">
        <f>IFERROR(__xludf.DUMMYFUNCTION("""COMPUTED_VALUE"""),413.64)</f>
        <v>413.64</v>
      </c>
      <c r="F292" s="2">
        <f>IFERROR(__xludf.DUMMYFUNCTION("""COMPUTED_VALUE"""),3.1947263E7)</f>
        <v>31947263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IFERROR(__xludf.DUMMYFUNCTION("""COMPUTED_VALUE"""),411.27)</f>
        <v>411.27</v>
      </c>
      <c r="C293" s="2">
        <f>IFERROR(__xludf.DUMMYFUNCTION("""COMPUTED_VALUE"""),415.87)</f>
        <v>415.87</v>
      </c>
      <c r="D293" s="2">
        <f>IFERROR(__xludf.DUMMYFUNCTION("""COMPUTED_VALUE"""),410.88)</f>
        <v>410.88</v>
      </c>
      <c r="E293" s="2">
        <f>IFERROR(__xludf.DUMMYFUNCTION("""COMPUTED_VALUE"""),415.5)</f>
        <v>415.5</v>
      </c>
      <c r="F293" s="2">
        <f>IFERROR(__xludf.DUMMYFUNCTION("""COMPUTED_VALUE"""),1.7823445E7)</f>
        <v>17823445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IFERROR(__xludf.DUMMYFUNCTION("""COMPUTED_VALUE"""),413.44)</f>
        <v>413.44</v>
      </c>
      <c r="C294" s="2">
        <f>IFERROR(__xludf.DUMMYFUNCTION("""COMPUTED_VALUE"""),417.35)</f>
        <v>417.35</v>
      </c>
      <c r="D294" s="2">
        <f>IFERROR(__xludf.DUMMYFUNCTION("""COMPUTED_VALUE"""),412.32)</f>
        <v>412.32</v>
      </c>
      <c r="E294" s="2">
        <f>IFERROR(__xludf.DUMMYFUNCTION("""COMPUTED_VALUE"""),414.92)</f>
        <v>414.92</v>
      </c>
      <c r="F294" s="2">
        <f>IFERROR(__xludf.DUMMYFUNCTION("""COMPUTED_VALUE"""),1.7595956E7)</f>
        <v>17595956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IFERROR(__xludf.DUMMYFUNCTION("""COMPUTED_VALUE"""),413.96)</f>
        <v>413.96</v>
      </c>
      <c r="C295" s="2">
        <f>IFERROR(__xludf.DUMMYFUNCTION("""COMPUTED_VALUE"""),414.25)</f>
        <v>414.25</v>
      </c>
      <c r="D295" s="2">
        <f>IFERROR(__xludf.DUMMYFUNCTION("""COMPUTED_VALUE"""),400.64)</f>
        <v>400.64</v>
      </c>
      <c r="E295" s="2">
        <f>IFERROR(__xludf.DUMMYFUNCTION("""COMPUTED_VALUE"""),402.65)</f>
        <v>402.65</v>
      </c>
      <c r="F295" s="2">
        <f>IFERROR(__xludf.DUMMYFUNCTION("""COMPUTED_VALUE"""),2.6919177E7)</f>
        <v>26919177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IFERROR(__xludf.DUMMYFUNCTION("""COMPUTED_VALUE"""),402.97)</f>
        <v>402.97</v>
      </c>
      <c r="C296" s="2">
        <f>IFERROR(__xludf.DUMMYFUNCTION("""COMPUTED_VALUE"""),405.16)</f>
        <v>405.16</v>
      </c>
      <c r="D296" s="2">
        <f>IFERROR(__xludf.DUMMYFUNCTION("""COMPUTED_VALUE"""),398.39)</f>
        <v>398.39</v>
      </c>
      <c r="E296" s="2">
        <f>IFERROR(__xludf.DUMMYFUNCTION("""COMPUTED_VALUE"""),402.09)</f>
        <v>402.09</v>
      </c>
      <c r="F296" s="2">
        <f>IFERROR(__xludf.DUMMYFUNCTION("""COMPUTED_VALUE"""),2.2344149E7)</f>
        <v>22344149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IFERROR(__xludf.DUMMYFUNCTION("""COMPUTED_VALUE"""),406.12)</f>
        <v>406.12</v>
      </c>
      <c r="C297" s="2">
        <f>IFERROR(__xludf.DUMMYFUNCTION("""COMPUTED_VALUE"""),409.78)</f>
        <v>409.78</v>
      </c>
      <c r="D297" s="2">
        <f>IFERROR(__xludf.DUMMYFUNCTION("""COMPUTED_VALUE"""),402.24)</f>
        <v>402.24</v>
      </c>
      <c r="E297" s="2">
        <f>IFERROR(__xludf.DUMMYFUNCTION("""COMPUTED_VALUE"""),409.14)</f>
        <v>409.14</v>
      </c>
      <c r="F297" s="2">
        <f>IFERROR(__xludf.DUMMYFUNCTION("""COMPUTED_VALUE"""),1.8718479E7)</f>
        <v>18718479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IFERROR(__xludf.DUMMYFUNCTION("""COMPUTED_VALUE"""),407.96)</f>
        <v>407.96</v>
      </c>
      <c r="C298" s="2">
        <f>IFERROR(__xludf.DUMMYFUNCTION("""COMPUTED_VALUE"""),410.42)</f>
        <v>410.42</v>
      </c>
      <c r="D298" s="2">
        <f>IFERROR(__xludf.DUMMYFUNCTION("""COMPUTED_VALUE"""),404.33)</f>
        <v>404.33</v>
      </c>
      <c r="E298" s="2">
        <f>IFERROR(__xludf.DUMMYFUNCTION("""COMPUTED_VALUE"""),406.22)</f>
        <v>406.22</v>
      </c>
      <c r="F298" s="2">
        <f>IFERROR(__xludf.DUMMYFUNCTION("""COMPUTED_VALUE"""),1.8002186E7)</f>
        <v>18002186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IFERROR(__xludf.DUMMYFUNCTION("""COMPUTED_VALUE"""),403.76)</f>
        <v>403.76</v>
      </c>
      <c r="C299" s="2">
        <f>IFERROR(__xludf.DUMMYFUNCTION("""COMPUTED_VALUE"""),405.68)</f>
        <v>405.68</v>
      </c>
      <c r="D299" s="2">
        <f>IFERROR(__xludf.DUMMYFUNCTION("""COMPUTED_VALUE"""),401.26)</f>
        <v>401.26</v>
      </c>
      <c r="E299" s="2">
        <f>IFERROR(__xludf.DUMMYFUNCTION("""COMPUTED_VALUE"""),404.52)</f>
        <v>404.52</v>
      </c>
      <c r="F299" s="2">
        <f>IFERROR(__xludf.DUMMYFUNCTION("""COMPUTED_VALUE"""),1.6120752E7)</f>
        <v>16120752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IFERROR(__xludf.DUMMYFUNCTION("""COMPUTED_VALUE"""),407.62)</f>
        <v>407.62</v>
      </c>
      <c r="C300" s="2">
        <f>IFERROR(__xludf.DUMMYFUNCTION("""COMPUTED_VALUE"""),415.57)</f>
        <v>415.57</v>
      </c>
      <c r="D300" s="2">
        <f>IFERROR(__xludf.DUMMYFUNCTION("""COMPUTED_VALUE"""),406.79)</f>
        <v>406.79</v>
      </c>
      <c r="E300" s="2">
        <f>IFERROR(__xludf.DUMMYFUNCTION("""COMPUTED_VALUE"""),415.28)</f>
        <v>415.28</v>
      </c>
      <c r="F300" s="2">
        <f>IFERROR(__xludf.DUMMYFUNCTION("""COMPUTED_VALUE"""),2.2457003E7)</f>
        <v>22457003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IFERROR(__xludf.DUMMYFUNCTION("""COMPUTED_VALUE"""),418.1)</f>
        <v>418.1</v>
      </c>
      <c r="C301" s="2">
        <f>IFERROR(__xludf.DUMMYFUNCTION("""COMPUTED_VALUE"""),418.18)</f>
        <v>418.18</v>
      </c>
      <c r="D301" s="2">
        <f>IFERROR(__xludf.DUMMYFUNCTION("""COMPUTED_VALUE"""),411.45)</f>
        <v>411.45</v>
      </c>
      <c r="E301" s="2">
        <f>IFERROR(__xludf.DUMMYFUNCTION("""COMPUTED_VALUE"""),415.1)</f>
        <v>415.1</v>
      </c>
      <c r="F301" s="2">
        <f>IFERROR(__xludf.DUMMYFUNCTION("""COMPUTED_VALUE"""),1.7115931E7)</f>
        <v>17115931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IFERROR(__xludf.DUMMYFUNCTION("""COMPUTED_VALUE"""),420.24)</f>
        <v>420.24</v>
      </c>
      <c r="C302" s="2">
        <f>IFERROR(__xludf.DUMMYFUNCTION("""COMPUTED_VALUE"""),427.82)</f>
        <v>427.82</v>
      </c>
      <c r="D302" s="2">
        <f>IFERROR(__xludf.DUMMYFUNCTION("""COMPUTED_VALUE"""),417.99)</f>
        <v>417.99</v>
      </c>
      <c r="E302" s="2">
        <f>IFERROR(__xludf.DUMMYFUNCTION("""COMPUTED_VALUE"""),425.22)</f>
        <v>425.22</v>
      </c>
      <c r="F302" s="2">
        <f>IFERROR(__xludf.DUMMYFUNCTION("""COMPUTED_VALUE"""),3.4157299E7)</f>
        <v>34157299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IFERROR(__xludf.DUMMYFUNCTION("""COMPUTED_VALUE"""),419.29)</f>
        <v>419.29</v>
      </c>
      <c r="C303" s="2">
        <f>IFERROR(__xludf.DUMMYFUNCTION("""COMPUTED_VALUE"""),422.6)</f>
        <v>422.6</v>
      </c>
      <c r="D303" s="2">
        <f>IFERROR(__xludf.DUMMYFUNCTION("""COMPUTED_VALUE"""),412.79)</f>
        <v>412.79</v>
      </c>
      <c r="E303" s="2">
        <f>IFERROR(__xludf.DUMMYFUNCTION("""COMPUTED_VALUE"""),416.42)</f>
        <v>416.42</v>
      </c>
      <c r="F303" s="2">
        <f>IFERROR(__xludf.DUMMYFUNCTION("""COMPUTED_VALUE"""),4.5079903E7)</f>
        <v>45079903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IFERROR(__xludf.DUMMYFUNCTION("""COMPUTED_VALUE"""),414.25)</f>
        <v>414.25</v>
      </c>
      <c r="C304" s="2">
        <f>IFERROR(__xludf.DUMMYFUNCTION("""COMPUTED_VALUE"""),420.73)</f>
        <v>420.73</v>
      </c>
      <c r="D304" s="2">
        <f>IFERROR(__xludf.DUMMYFUNCTION("""COMPUTED_VALUE"""),413.78)</f>
        <v>413.78</v>
      </c>
      <c r="E304" s="2">
        <f>IFERROR(__xludf.DUMMYFUNCTION("""COMPUTED_VALUE"""),417.32)</f>
        <v>417.32</v>
      </c>
      <c r="F304" s="2">
        <f>IFERROR(__xludf.DUMMYFUNCTION("""COMPUTED_VALUE"""),2.0105977E7)</f>
        <v>20105977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IFERROR(__xludf.DUMMYFUNCTION("""COMPUTED_VALUE"""),417.83)</f>
        <v>417.83</v>
      </c>
      <c r="C305" s="2">
        <f>IFERROR(__xludf.DUMMYFUNCTION("""COMPUTED_VALUE"""),421.67)</f>
        <v>421.67</v>
      </c>
      <c r="D305" s="2">
        <f>IFERROR(__xludf.DUMMYFUNCTION("""COMPUTED_VALUE"""),415.55)</f>
        <v>415.55</v>
      </c>
      <c r="E305" s="2">
        <f>IFERROR(__xludf.DUMMYFUNCTION("""COMPUTED_VALUE"""),421.41)</f>
        <v>421.41</v>
      </c>
      <c r="F305" s="2">
        <f>IFERROR(__xludf.DUMMYFUNCTION("""COMPUTED_VALUE"""),1.9837915E7)</f>
        <v>19837915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IFERROR(__xludf.DUMMYFUNCTION("""COMPUTED_VALUE"""),422.0)</f>
        <v>422</v>
      </c>
      <c r="C306" s="2">
        <f>IFERROR(__xludf.DUMMYFUNCTION("""COMPUTED_VALUE"""),425.96)</f>
        <v>425.96</v>
      </c>
      <c r="D306" s="2">
        <f>IFERROR(__xludf.DUMMYFUNCTION("""COMPUTED_VALUE"""),420.66)</f>
        <v>420.66</v>
      </c>
      <c r="E306" s="2">
        <f>IFERROR(__xludf.DUMMYFUNCTION("""COMPUTED_VALUE"""),425.23)</f>
        <v>425.23</v>
      </c>
      <c r="F306" s="2">
        <f>IFERROR(__xludf.DUMMYFUNCTION("""COMPUTED_VALUE"""),1.7860085E7)</f>
        <v>17860085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IFERROR(__xludf.DUMMYFUNCTION("""COMPUTED_VALUE"""),429.83)</f>
        <v>429.83</v>
      </c>
      <c r="C307" s="2">
        <f>IFERROR(__xludf.DUMMYFUNCTION("""COMPUTED_VALUE"""),430.82)</f>
        <v>430.82</v>
      </c>
      <c r="D307" s="2">
        <f>IFERROR(__xludf.DUMMYFUNCTION("""COMPUTED_VALUE"""),427.16)</f>
        <v>427.16</v>
      </c>
      <c r="E307" s="2">
        <f>IFERROR(__xludf.DUMMYFUNCTION("""COMPUTED_VALUE"""),429.37)</f>
        <v>429.37</v>
      </c>
      <c r="F307" s="2">
        <f>IFERROR(__xludf.DUMMYFUNCTION("""COMPUTED_VALUE"""),2.1296222E7)</f>
        <v>21296222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IFERROR(__xludf.DUMMYFUNCTION("""COMPUTED_VALUE"""),429.7)</f>
        <v>429.7</v>
      </c>
      <c r="C308" s="2">
        <f>IFERROR(__xludf.DUMMYFUNCTION("""COMPUTED_VALUE"""),429.86)</f>
        <v>429.86</v>
      </c>
      <c r="D308" s="2">
        <f>IFERROR(__xludf.DUMMYFUNCTION("""COMPUTED_VALUE"""),426.07)</f>
        <v>426.07</v>
      </c>
      <c r="E308" s="2">
        <f>IFERROR(__xludf.DUMMYFUNCTION("""COMPUTED_VALUE"""),428.74)</f>
        <v>428.74</v>
      </c>
      <c r="F308" s="2">
        <f>IFERROR(__xludf.DUMMYFUNCTION("""COMPUTED_VALUE"""),1.7648473E7)</f>
        <v>17648473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IFERROR(__xludf.DUMMYFUNCTION("""COMPUTED_VALUE"""),425.24)</f>
        <v>425.24</v>
      </c>
      <c r="C309" s="2">
        <f>IFERROR(__xludf.DUMMYFUNCTION("""COMPUTED_VALUE"""),427.41)</f>
        <v>427.41</v>
      </c>
      <c r="D309" s="2">
        <f>IFERROR(__xludf.DUMMYFUNCTION("""COMPUTED_VALUE"""),421.61)</f>
        <v>421.61</v>
      </c>
      <c r="E309" s="2">
        <f>IFERROR(__xludf.DUMMYFUNCTION("""COMPUTED_VALUE"""),422.86)</f>
        <v>422.86</v>
      </c>
      <c r="F309" s="2">
        <f>IFERROR(__xludf.DUMMYFUNCTION("""COMPUTED_VALUE"""),1.806045E7)</f>
        <v>18060450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IFERROR(__xludf.DUMMYFUNCTION("""COMPUTED_VALUE"""),425.61)</f>
        <v>425.61</v>
      </c>
      <c r="C310" s="2">
        <f>IFERROR(__xludf.DUMMYFUNCTION("""COMPUTED_VALUE"""),425.99)</f>
        <v>425.99</v>
      </c>
      <c r="D310" s="2">
        <f>IFERROR(__xludf.DUMMYFUNCTION("""COMPUTED_VALUE"""),421.35)</f>
        <v>421.35</v>
      </c>
      <c r="E310" s="2">
        <f>IFERROR(__xludf.DUMMYFUNCTION("""COMPUTED_VALUE"""),421.65)</f>
        <v>421.65</v>
      </c>
      <c r="F310" s="2">
        <f>IFERROR(__xludf.DUMMYFUNCTION("""COMPUTED_VALUE"""),1.6725647E7)</f>
        <v>16725647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IFERROR(__xludf.DUMMYFUNCTION("""COMPUTED_VALUE"""),424.44)</f>
        <v>424.44</v>
      </c>
      <c r="C311" s="2">
        <f>IFERROR(__xludf.DUMMYFUNCTION("""COMPUTED_VALUE"""),424.45)</f>
        <v>424.45</v>
      </c>
      <c r="D311" s="2">
        <f>IFERROR(__xludf.DUMMYFUNCTION("""COMPUTED_VALUE"""),419.01)</f>
        <v>419.01</v>
      </c>
      <c r="E311" s="2">
        <f>IFERROR(__xludf.DUMMYFUNCTION("""COMPUTED_VALUE"""),421.43)</f>
        <v>421.43</v>
      </c>
      <c r="F311" s="2">
        <f>IFERROR(__xludf.DUMMYFUNCTION("""COMPUTED_VALUE"""),1.6704978E7)</f>
        <v>16704978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IFERROR(__xludf.DUMMYFUNCTION("""COMPUTED_VALUE"""),420.96)</f>
        <v>420.96</v>
      </c>
      <c r="C312" s="2">
        <f>IFERROR(__xludf.DUMMYFUNCTION("""COMPUTED_VALUE"""),421.87)</f>
        <v>421.87</v>
      </c>
      <c r="D312" s="2">
        <f>IFERROR(__xludf.DUMMYFUNCTION("""COMPUTED_VALUE"""),419.12)</f>
        <v>419.12</v>
      </c>
      <c r="E312" s="2">
        <f>IFERROR(__xludf.DUMMYFUNCTION("""COMPUTED_VALUE"""),420.72)</f>
        <v>420.72</v>
      </c>
      <c r="F312" s="2">
        <f>IFERROR(__xludf.DUMMYFUNCTION("""COMPUTED_VALUE"""),2.1871161E7)</f>
        <v>21871161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IFERROR(__xludf.DUMMYFUNCTION("""COMPUTED_VALUE"""),423.95)</f>
        <v>423.95</v>
      </c>
      <c r="C313" s="2">
        <f>IFERROR(__xludf.DUMMYFUNCTION("""COMPUTED_VALUE"""),427.89)</f>
        <v>427.89</v>
      </c>
      <c r="D313" s="2">
        <f>IFERROR(__xludf.DUMMYFUNCTION("""COMPUTED_VALUE"""),422.22)</f>
        <v>422.22</v>
      </c>
      <c r="E313" s="2">
        <f>IFERROR(__xludf.DUMMYFUNCTION("""COMPUTED_VALUE"""),424.57)</f>
        <v>424.57</v>
      </c>
      <c r="F313" s="2">
        <f>IFERROR(__xludf.DUMMYFUNCTION("""COMPUTED_VALUE"""),1.6315961E7)</f>
        <v>16315961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IFERROR(__xludf.DUMMYFUNCTION("""COMPUTED_VALUE"""),420.11)</f>
        <v>420.11</v>
      </c>
      <c r="C314" s="2">
        <f>IFERROR(__xludf.DUMMYFUNCTION("""COMPUTED_VALUE"""),422.38)</f>
        <v>422.38</v>
      </c>
      <c r="D314" s="2">
        <f>IFERROR(__xludf.DUMMYFUNCTION("""COMPUTED_VALUE"""),417.84)</f>
        <v>417.84</v>
      </c>
      <c r="E314" s="2">
        <f>IFERROR(__xludf.DUMMYFUNCTION("""COMPUTED_VALUE"""),421.44)</f>
        <v>421.44</v>
      </c>
      <c r="F314" s="2">
        <f>IFERROR(__xludf.DUMMYFUNCTION("""COMPUTED_VALUE"""),1.7911992E7)</f>
        <v>17911992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IFERROR(__xludf.DUMMYFUNCTION("""COMPUTED_VALUE"""),419.73)</f>
        <v>419.73</v>
      </c>
      <c r="C315" s="2">
        <f>IFERROR(__xludf.DUMMYFUNCTION("""COMPUTED_VALUE"""),423.26)</f>
        <v>423.26</v>
      </c>
      <c r="D315" s="2">
        <f>IFERROR(__xludf.DUMMYFUNCTION("""COMPUTED_VALUE"""),419.09)</f>
        <v>419.09</v>
      </c>
      <c r="E315" s="2">
        <f>IFERROR(__xludf.DUMMYFUNCTION("""COMPUTED_VALUE"""),420.45)</f>
        <v>420.45</v>
      </c>
      <c r="F315" s="2">
        <f>IFERROR(__xludf.DUMMYFUNCTION("""COMPUTED_VALUE"""),1.6502264E7)</f>
        <v>16502264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IFERROR(__xludf.DUMMYFUNCTION("""COMPUTED_VALUE"""),424.99)</f>
        <v>424.99</v>
      </c>
      <c r="C316" s="2">
        <f>IFERROR(__xludf.DUMMYFUNCTION("""COMPUTED_VALUE"""),428.67)</f>
        <v>428.67</v>
      </c>
      <c r="D316" s="2">
        <f>IFERROR(__xludf.DUMMYFUNCTION("""COMPUTED_VALUE"""),417.57)</f>
        <v>417.57</v>
      </c>
      <c r="E316" s="2">
        <f>IFERROR(__xludf.DUMMYFUNCTION("""COMPUTED_VALUE"""),417.88)</f>
        <v>417.88</v>
      </c>
      <c r="F316" s="2">
        <f>IFERROR(__xludf.DUMMYFUNCTION("""COMPUTED_VALUE"""),1.9370875E7)</f>
        <v>19370875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IFERROR(__xludf.DUMMYFUNCTION("""COMPUTED_VALUE"""),420.01)</f>
        <v>420.01</v>
      </c>
      <c r="C317" s="2">
        <f>IFERROR(__xludf.DUMMYFUNCTION("""COMPUTED_VALUE"""),426.51)</f>
        <v>426.51</v>
      </c>
      <c r="D317" s="2">
        <f>IFERROR(__xludf.DUMMYFUNCTION("""COMPUTED_VALUE"""),418.32)</f>
        <v>418.32</v>
      </c>
      <c r="E317" s="2">
        <f>IFERROR(__xludf.DUMMYFUNCTION("""COMPUTED_VALUE"""),425.52)</f>
        <v>425.52</v>
      </c>
      <c r="F317" s="2">
        <f>IFERROR(__xludf.DUMMYFUNCTION("""COMPUTED_VALUE"""),1.6554761E7)</f>
        <v>16554761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IFERROR(__xludf.DUMMYFUNCTION("""COMPUTED_VALUE"""),425.17)</f>
        <v>425.17</v>
      </c>
      <c r="C318" s="2">
        <f>IFERROR(__xludf.DUMMYFUNCTION("""COMPUTED_VALUE"""),427.28)</f>
        <v>427.28</v>
      </c>
      <c r="D318" s="2">
        <f>IFERROR(__xludf.DUMMYFUNCTION("""COMPUTED_VALUE"""),423.3)</f>
        <v>423.3</v>
      </c>
      <c r="E318" s="2">
        <f>IFERROR(__xludf.DUMMYFUNCTION("""COMPUTED_VALUE"""),424.59)</f>
        <v>424.59</v>
      </c>
      <c r="F318" s="2">
        <f>IFERROR(__xludf.DUMMYFUNCTION("""COMPUTED_VALUE"""),1.4272387E7)</f>
        <v>14272387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IFERROR(__xludf.DUMMYFUNCTION("""COMPUTED_VALUE"""),426.44)</f>
        <v>426.44</v>
      </c>
      <c r="C319" s="2">
        <f>IFERROR(__xludf.DUMMYFUNCTION("""COMPUTED_VALUE"""),427.74)</f>
        <v>427.74</v>
      </c>
      <c r="D319" s="2">
        <f>IFERROR(__xludf.DUMMYFUNCTION("""COMPUTED_VALUE"""),421.62)</f>
        <v>421.62</v>
      </c>
      <c r="E319" s="2">
        <f>IFERROR(__xludf.DUMMYFUNCTION("""COMPUTED_VALUE"""),426.28)</f>
        <v>426.28</v>
      </c>
      <c r="F319" s="2">
        <f>IFERROR(__xludf.DUMMYFUNCTION("""COMPUTED_VALUE"""),1.2512289E7)</f>
        <v>12512289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IFERROR(__xludf.DUMMYFUNCTION("""COMPUTED_VALUE"""),422.19)</f>
        <v>422.19</v>
      </c>
      <c r="C320" s="2">
        <f>IFERROR(__xludf.DUMMYFUNCTION("""COMPUTED_VALUE"""),424.03)</f>
        <v>424.03</v>
      </c>
      <c r="D320" s="2">
        <f>IFERROR(__xludf.DUMMYFUNCTION("""COMPUTED_VALUE"""),419.7)</f>
        <v>419.7</v>
      </c>
      <c r="E320" s="2">
        <f>IFERROR(__xludf.DUMMYFUNCTION("""COMPUTED_VALUE"""),423.26)</f>
        <v>423.26</v>
      </c>
      <c r="F320" s="2">
        <f>IFERROR(__xludf.DUMMYFUNCTION("""COMPUTED_VALUE"""),1.6216581E7)</f>
        <v>16216581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IFERROR(__xludf.DUMMYFUNCTION("""COMPUTED_VALUE"""),425.82)</f>
        <v>425.82</v>
      </c>
      <c r="C321" s="2">
        <f>IFERROR(__xludf.DUMMYFUNCTION("""COMPUTED_VALUE"""),429.37)</f>
        <v>429.37</v>
      </c>
      <c r="D321" s="2">
        <f>IFERROR(__xludf.DUMMYFUNCTION("""COMPUTED_VALUE"""),422.36)</f>
        <v>422.36</v>
      </c>
      <c r="E321" s="2">
        <f>IFERROR(__xludf.DUMMYFUNCTION("""COMPUTED_VALUE"""),427.93)</f>
        <v>427.93</v>
      </c>
      <c r="F321" s="2">
        <f>IFERROR(__xludf.DUMMYFUNCTION("""COMPUTED_VALUE"""),1.7966423E7)</f>
        <v>17966423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IFERROR(__xludf.DUMMYFUNCTION("""COMPUTED_VALUE"""),424.05)</f>
        <v>424.05</v>
      </c>
      <c r="C322" s="2">
        <f>IFERROR(__xludf.DUMMYFUNCTION("""COMPUTED_VALUE"""),425.18)</f>
        <v>425.18</v>
      </c>
      <c r="D322" s="2">
        <f>IFERROR(__xludf.DUMMYFUNCTION("""COMPUTED_VALUE"""),419.77)</f>
        <v>419.77</v>
      </c>
      <c r="E322" s="2">
        <f>IFERROR(__xludf.DUMMYFUNCTION("""COMPUTED_VALUE"""),421.9)</f>
        <v>421.9</v>
      </c>
      <c r="F322" s="2">
        <f>IFERROR(__xludf.DUMMYFUNCTION("""COMPUTED_VALUE"""),1.925375E7)</f>
        <v>19253750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IFERROR(__xludf.DUMMYFUNCTION("""COMPUTED_VALUE"""),426.6)</f>
        <v>426.6</v>
      </c>
      <c r="C323" s="2">
        <f>IFERROR(__xludf.DUMMYFUNCTION("""COMPUTED_VALUE"""),426.82)</f>
        <v>426.82</v>
      </c>
      <c r="D323" s="2">
        <f>IFERROR(__xludf.DUMMYFUNCTION("""COMPUTED_VALUE"""),413.43)</f>
        <v>413.43</v>
      </c>
      <c r="E323" s="2">
        <f>IFERROR(__xludf.DUMMYFUNCTION("""COMPUTED_VALUE"""),413.64)</f>
        <v>413.64</v>
      </c>
      <c r="F323" s="2">
        <f>IFERROR(__xludf.DUMMYFUNCTION("""COMPUTED_VALUE"""),2.0273538E7)</f>
        <v>20273538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IFERROR(__xludf.DUMMYFUNCTION("""COMPUTED_VALUE"""),414.57)</f>
        <v>414.57</v>
      </c>
      <c r="C324" s="2">
        <f>IFERROR(__xludf.DUMMYFUNCTION("""COMPUTED_VALUE"""),418.4)</f>
        <v>418.4</v>
      </c>
      <c r="D324" s="2">
        <f>IFERROR(__xludf.DUMMYFUNCTION("""COMPUTED_VALUE"""),413.73)</f>
        <v>413.73</v>
      </c>
      <c r="E324" s="2">
        <f>IFERROR(__xludf.DUMMYFUNCTION("""COMPUTED_VALUE"""),414.58)</f>
        <v>414.58</v>
      </c>
      <c r="F324" s="2">
        <f>IFERROR(__xludf.DUMMYFUNCTION("""COMPUTED_VALUE"""),1.6765616E7)</f>
        <v>16765616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IFERROR(__xludf.DUMMYFUNCTION("""COMPUTED_VALUE"""),417.25)</f>
        <v>417.25</v>
      </c>
      <c r="C325" s="2">
        <f>IFERROR(__xludf.DUMMYFUNCTION("""COMPUTED_VALUE"""),418.88)</f>
        <v>418.88</v>
      </c>
      <c r="D325" s="2">
        <f>IFERROR(__xludf.DUMMYFUNCTION("""COMPUTED_VALUE"""),410.33)</f>
        <v>410.33</v>
      </c>
      <c r="E325" s="2">
        <f>IFERROR(__xludf.DUMMYFUNCTION("""COMPUTED_VALUE"""),411.84)</f>
        <v>411.84</v>
      </c>
      <c r="F325" s="2">
        <f>IFERROR(__xludf.DUMMYFUNCTION("""COMPUTED_VALUE"""),1.5855485E7)</f>
        <v>15855485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IFERROR(__xludf.DUMMYFUNCTION("""COMPUTED_VALUE"""),410.63)</f>
        <v>410.63</v>
      </c>
      <c r="C326" s="2">
        <f>IFERROR(__xludf.DUMMYFUNCTION("""COMPUTED_VALUE"""),411.89)</f>
        <v>411.89</v>
      </c>
      <c r="D326" s="2">
        <f>IFERROR(__xludf.DUMMYFUNCTION("""COMPUTED_VALUE"""),403.95)</f>
        <v>403.95</v>
      </c>
      <c r="E326" s="2">
        <f>IFERROR(__xludf.DUMMYFUNCTION("""COMPUTED_VALUE"""),404.27)</f>
        <v>404.27</v>
      </c>
      <c r="F326" s="2">
        <f>IFERROR(__xludf.DUMMYFUNCTION("""COMPUTED_VALUE"""),2.1029917E7)</f>
        <v>21029917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IFERROR(__xludf.DUMMYFUNCTION("""COMPUTED_VALUE"""),404.03)</f>
        <v>404.03</v>
      </c>
      <c r="C327" s="2">
        <f>IFERROR(__xludf.DUMMYFUNCTION("""COMPUTED_VALUE"""),405.48)</f>
        <v>405.48</v>
      </c>
      <c r="D327" s="2">
        <f>IFERROR(__xludf.DUMMYFUNCTION("""COMPUTED_VALUE"""),397.77)</f>
        <v>397.77</v>
      </c>
      <c r="E327" s="2">
        <f>IFERROR(__xludf.DUMMYFUNCTION("""COMPUTED_VALUE"""),399.12)</f>
        <v>399.12</v>
      </c>
      <c r="F327" s="2">
        <f>IFERROR(__xludf.DUMMYFUNCTION("""COMPUTED_VALUE"""),3.0565789E7)</f>
        <v>30565789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IFERROR(__xludf.DUMMYFUNCTION("""COMPUTED_VALUE"""),400.08)</f>
        <v>400.08</v>
      </c>
      <c r="C328" s="2">
        <f>IFERROR(__xludf.DUMMYFUNCTION("""COMPUTED_VALUE"""),402.85)</f>
        <v>402.85</v>
      </c>
      <c r="D328" s="2">
        <f>IFERROR(__xludf.DUMMYFUNCTION("""COMPUTED_VALUE"""),395.75)</f>
        <v>395.75</v>
      </c>
      <c r="E328" s="2">
        <f>IFERROR(__xludf.DUMMYFUNCTION("""COMPUTED_VALUE"""),400.96)</f>
        <v>400.96</v>
      </c>
      <c r="F328" s="2">
        <f>IFERROR(__xludf.DUMMYFUNCTION("""COMPUTED_VALUE"""),2.0286875E7)</f>
        <v>20286875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IFERROR(__xludf.DUMMYFUNCTION("""COMPUTED_VALUE"""),404.24)</f>
        <v>404.24</v>
      </c>
      <c r="C329" s="2">
        <f>IFERROR(__xludf.DUMMYFUNCTION("""COMPUTED_VALUE"""),408.2)</f>
        <v>408.2</v>
      </c>
      <c r="D329" s="2">
        <f>IFERROR(__xludf.DUMMYFUNCTION("""COMPUTED_VALUE"""),403.06)</f>
        <v>403.06</v>
      </c>
      <c r="E329" s="2">
        <f>IFERROR(__xludf.DUMMYFUNCTION("""COMPUTED_VALUE"""),407.57)</f>
        <v>407.57</v>
      </c>
      <c r="F329" s="2">
        <f>IFERROR(__xludf.DUMMYFUNCTION("""COMPUTED_VALUE"""),1.5734501E7)</f>
        <v>15734501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IFERROR(__xludf.DUMMYFUNCTION("""COMPUTED_VALUE"""),409.56)</f>
        <v>409.56</v>
      </c>
      <c r="C330" s="2">
        <f>IFERROR(__xludf.DUMMYFUNCTION("""COMPUTED_VALUE"""),412.47)</f>
        <v>412.47</v>
      </c>
      <c r="D330" s="2">
        <f>IFERROR(__xludf.DUMMYFUNCTION("""COMPUTED_VALUE"""),406.78)</f>
        <v>406.78</v>
      </c>
      <c r="E330" s="2">
        <f>IFERROR(__xludf.DUMMYFUNCTION("""COMPUTED_VALUE"""),409.06)</f>
        <v>409.06</v>
      </c>
      <c r="F330" s="2">
        <f>IFERROR(__xludf.DUMMYFUNCTION("""COMPUTED_VALUE"""),1.506533E7)</f>
        <v>15065330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IFERROR(__xludf.DUMMYFUNCTION("""COMPUTED_VALUE"""),394.03)</f>
        <v>394.03</v>
      </c>
      <c r="C331" s="2">
        <f>IFERROR(__xludf.DUMMYFUNCTION("""COMPUTED_VALUE"""),399.89)</f>
        <v>399.89</v>
      </c>
      <c r="D331" s="2">
        <f>IFERROR(__xludf.DUMMYFUNCTION("""COMPUTED_VALUE"""),388.03)</f>
        <v>388.03</v>
      </c>
      <c r="E331" s="2">
        <f>IFERROR(__xludf.DUMMYFUNCTION("""COMPUTED_VALUE"""),399.04)</f>
        <v>399.04</v>
      </c>
      <c r="F331" s="2">
        <f>IFERROR(__xludf.DUMMYFUNCTION("""COMPUTED_VALUE"""),4.058645E7)</f>
        <v>40586450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IFERROR(__xludf.DUMMYFUNCTION("""COMPUTED_VALUE"""),412.17)</f>
        <v>412.17</v>
      </c>
      <c r="C332" s="2">
        <f>IFERROR(__xludf.DUMMYFUNCTION("""COMPUTED_VALUE"""),413.0)</f>
        <v>413</v>
      </c>
      <c r="D332" s="2">
        <f>IFERROR(__xludf.DUMMYFUNCTION("""COMPUTED_VALUE"""),405.76)</f>
        <v>405.76</v>
      </c>
      <c r="E332" s="2">
        <f>IFERROR(__xludf.DUMMYFUNCTION("""COMPUTED_VALUE"""),406.32)</f>
        <v>406.32</v>
      </c>
      <c r="F332" s="2">
        <f>IFERROR(__xludf.DUMMYFUNCTION("""COMPUTED_VALUE"""),2.9694654E7)</f>
        <v>29694654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IFERROR(__xludf.DUMMYFUNCTION("""COMPUTED_VALUE"""),405.25)</f>
        <v>405.25</v>
      </c>
      <c r="C333" s="2">
        <f>IFERROR(__xludf.DUMMYFUNCTION("""COMPUTED_VALUE"""),406.32)</f>
        <v>406.32</v>
      </c>
      <c r="D333" s="2">
        <f>IFERROR(__xludf.DUMMYFUNCTION("""COMPUTED_VALUE"""),399.19)</f>
        <v>399.19</v>
      </c>
      <c r="E333" s="2">
        <f>IFERROR(__xludf.DUMMYFUNCTION("""COMPUTED_VALUE"""),402.25)</f>
        <v>402.25</v>
      </c>
      <c r="F333" s="2">
        <f>IFERROR(__xludf.DUMMYFUNCTION("""COMPUTED_VALUE"""),1.9582091E7)</f>
        <v>19582091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IFERROR(__xludf.DUMMYFUNCTION("""COMPUTED_VALUE"""),401.49)</f>
        <v>401.49</v>
      </c>
      <c r="C334" s="2">
        <f>IFERROR(__xludf.DUMMYFUNCTION("""COMPUTED_VALUE"""),402.16)</f>
        <v>402.16</v>
      </c>
      <c r="D334" s="2">
        <f>IFERROR(__xludf.DUMMYFUNCTION("""COMPUTED_VALUE"""),389.17)</f>
        <v>389.17</v>
      </c>
      <c r="E334" s="2">
        <f>IFERROR(__xludf.DUMMYFUNCTION("""COMPUTED_VALUE"""),389.33)</f>
        <v>389.33</v>
      </c>
      <c r="F334" s="2">
        <f>IFERROR(__xludf.DUMMYFUNCTION("""COMPUTED_VALUE"""),2.8781374E7)</f>
        <v>28781374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IFERROR(__xludf.DUMMYFUNCTION("""COMPUTED_VALUE"""),392.61)</f>
        <v>392.61</v>
      </c>
      <c r="C335" s="2">
        <f>IFERROR(__xludf.DUMMYFUNCTION("""COMPUTED_VALUE"""),401.72)</f>
        <v>401.72</v>
      </c>
      <c r="D335" s="2">
        <f>IFERROR(__xludf.DUMMYFUNCTION("""COMPUTED_VALUE"""),390.31)</f>
        <v>390.31</v>
      </c>
      <c r="E335" s="2">
        <f>IFERROR(__xludf.DUMMYFUNCTION("""COMPUTED_VALUE"""),394.94)</f>
        <v>394.94</v>
      </c>
      <c r="F335" s="2">
        <f>IFERROR(__xludf.DUMMYFUNCTION("""COMPUTED_VALUE"""),2.3562481E7)</f>
        <v>23562481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IFERROR(__xludf.DUMMYFUNCTION("""COMPUTED_VALUE"""),397.66)</f>
        <v>397.66</v>
      </c>
      <c r="C336" s="2">
        <f>IFERROR(__xludf.DUMMYFUNCTION("""COMPUTED_VALUE"""),399.93)</f>
        <v>399.93</v>
      </c>
      <c r="D336" s="2">
        <f>IFERROR(__xludf.DUMMYFUNCTION("""COMPUTED_VALUE"""),394.65)</f>
        <v>394.65</v>
      </c>
      <c r="E336" s="2">
        <f>IFERROR(__xludf.DUMMYFUNCTION("""COMPUTED_VALUE"""),397.84)</f>
        <v>397.84</v>
      </c>
      <c r="F336" s="2">
        <f>IFERROR(__xludf.DUMMYFUNCTION("""COMPUTED_VALUE"""),1.7709364E7)</f>
        <v>17709364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IFERROR(__xludf.DUMMYFUNCTION("""COMPUTED_VALUE"""),402.28)</f>
        <v>402.28</v>
      </c>
      <c r="C337" s="2">
        <f>IFERROR(__xludf.DUMMYFUNCTION("""COMPUTED_VALUE"""),407.15)</f>
        <v>407.15</v>
      </c>
      <c r="D337" s="2">
        <f>IFERROR(__xludf.DUMMYFUNCTION("""COMPUTED_VALUE"""),401.86)</f>
        <v>401.86</v>
      </c>
      <c r="E337" s="2">
        <f>IFERROR(__xludf.DUMMYFUNCTION("""COMPUTED_VALUE"""),406.66)</f>
        <v>406.66</v>
      </c>
      <c r="F337" s="2">
        <f>IFERROR(__xludf.DUMMYFUNCTION("""COMPUTED_VALUE"""),1.7446724E7)</f>
        <v>17446724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IFERROR(__xludf.DUMMYFUNCTION("""COMPUTED_VALUE"""),408.76)</f>
        <v>408.76</v>
      </c>
      <c r="C338" s="2">
        <f>IFERROR(__xludf.DUMMYFUNCTION("""COMPUTED_VALUE"""),413.93)</f>
        <v>413.93</v>
      </c>
      <c r="D338" s="2">
        <f>IFERROR(__xludf.DUMMYFUNCTION("""COMPUTED_VALUE"""),406.37)</f>
        <v>406.37</v>
      </c>
      <c r="E338" s="2">
        <f>IFERROR(__xludf.DUMMYFUNCTION("""COMPUTED_VALUE"""),413.54)</f>
        <v>413.54</v>
      </c>
      <c r="F338" s="2">
        <f>IFERROR(__xludf.DUMMYFUNCTION("""COMPUTED_VALUE"""),1.6996639E7)</f>
        <v>16996639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IFERROR(__xludf.DUMMYFUNCTION("""COMPUTED_VALUE"""),414.66)</f>
        <v>414.66</v>
      </c>
      <c r="C339" s="2">
        <f>IFERROR(__xludf.DUMMYFUNCTION("""COMPUTED_VALUE"""),414.67)</f>
        <v>414.67</v>
      </c>
      <c r="D339" s="2">
        <f>IFERROR(__xludf.DUMMYFUNCTION("""COMPUTED_VALUE"""),409.09)</f>
        <v>409.09</v>
      </c>
      <c r="E339" s="2">
        <f>IFERROR(__xludf.DUMMYFUNCTION("""COMPUTED_VALUE"""),409.34)</f>
        <v>409.34</v>
      </c>
      <c r="F339" s="2">
        <f>IFERROR(__xludf.DUMMYFUNCTION("""COMPUTED_VALUE"""),2.0018228E7)</f>
        <v>20018228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IFERROR(__xludf.DUMMYFUNCTION("""COMPUTED_VALUE"""),408.17)</f>
        <v>408.17</v>
      </c>
      <c r="C340" s="2">
        <f>IFERROR(__xludf.DUMMYFUNCTION("""COMPUTED_VALUE"""),412.23)</f>
        <v>412.23</v>
      </c>
      <c r="D340" s="2">
        <f>IFERROR(__xludf.DUMMYFUNCTION("""COMPUTED_VALUE"""),406.71)</f>
        <v>406.71</v>
      </c>
      <c r="E340" s="2">
        <f>IFERROR(__xludf.DUMMYFUNCTION("""COMPUTED_VALUE"""),410.54)</f>
        <v>410.54</v>
      </c>
      <c r="F340" s="2">
        <f>IFERROR(__xludf.DUMMYFUNCTION("""COMPUTED_VALUE"""),1.1792308E7)</f>
        <v>11792308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IFERROR(__xludf.DUMMYFUNCTION("""COMPUTED_VALUE"""),410.57)</f>
        <v>410.57</v>
      </c>
      <c r="C341" s="2">
        <f>IFERROR(__xludf.DUMMYFUNCTION("""COMPUTED_VALUE"""),412.72)</f>
        <v>412.72</v>
      </c>
      <c r="D341" s="2">
        <f>IFERROR(__xludf.DUMMYFUNCTION("""COMPUTED_VALUE"""),409.1)</f>
        <v>409.1</v>
      </c>
      <c r="E341" s="2">
        <f>IFERROR(__xludf.DUMMYFUNCTION("""COMPUTED_VALUE"""),412.32)</f>
        <v>412.32</v>
      </c>
      <c r="F341" s="2">
        <f>IFERROR(__xludf.DUMMYFUNCTION("""COMPUTED_VALUE"""),1.4689727E7)</f>
        <v>14689727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IFERROR(__xludf.DUMMYFUNCTION("""COMPUTED_VALUE"""),412.94)</f>
        <v>412.94</v>
      </c>
      <c r="C342" s="2">
        <f>IFERROR(__xludf.DUMMYFUNCTION("""COMPUTED_VALUE"""),415.38)</f>
        <v>415.38</v>
      </c>
      <c r="D342" s="2">
        <f>IFERROR(__xludf.DUMMYFUNCTION("""COMPUTED_VALUE"""),411.8)</f>
        <v>411.8</v>
      </c>
      <c r="E342" s="2">
        <f>IFERROR(__xludf.DUMMYFUNCTION("""COMPUTED_VALUE"""),414.74)</f>
        <v>414.74</v>
      </c>
      <c r="F342" s="2">
        <f>IFERROR(__xludf.DUMMYFUNCTION("""COMPUTED_VALUE"""),1.3402281E7)</f>
        <v>13402281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IFERROR(__xludf.DUMMYFUNCTION("""COMPUTED_VALUE"""),418.01)</f>
        <v>418.01</v>
      </c>
      <c r="C343" s="2">
        <f>IFERROR(__xludf.DUMMYFUNCTION("""COMPUTED_VALUE"""),418.35)</f>
        <v>418.35</v>
      </c>
      <c r="D343" s="2">
        <f>IFERROR(__xludf.DUMMYFUNCTION("""COMPUTED_VALUE"""),410.82)</f>
        <v>410.82</v>
      </c>
      <c r="E343" s="2">
        <f>IFERROR(__xludf.DUMMYFUNCTION("""COMPUTED_VALUE"""),413.72)</f>
        <v>413.72</v>
      </c>
      <c r="F343" s="2">
        <f>IFERROR(__xludf.DUMMYFUNCTION("""COMPUTED_VALUE"""),1.5440226E7)</f>
        <v>15440226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IFERROR(__xludf.DUMMYFUNCTION("""COMPUTED_VALUE"""),412.02)</f>
        <v>412.02</v>
      </c>
      <c r="C344" s="2">
        <f>IFERROR(__xludf.DUMMYFUNCTION("""COMPUTED_VALUE"""),417.49)</f>
        <v>417.49</v>
      </c>
      <c r="D344" s="2">
        <f>IFERROR(__xludf.DUMMYFUNCTION("""COMPUTED_VALUE"""),411.55)</f>
        <v>411.55</v>
      </c>
      <c r="E344" s="2">
        <f>IFERROR(__xludf.DUMMYFUNCTION("""COMPUTED_VALUE"""),416.56)</f>
        <v>416.56</v>
      </c>
      <c r="F344" s="2">
        <f>IFERROR(__xludf.DUMMYFUNCTION("""COMPUTED_VALUE"""),1.5109306E7)</f>
        <v>15109306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IFERROR(__xludf.DUMMYFUNCTION("""COMPUTED_VALUE"""),417.9)</f>
        <v>417.9</v>
      </c>
      <c r="C345" s="2">
        <f>IFERROR(__xludf.DUMMYFUNCTION("""COMPUTED_VALUE"""),423.81)</f>
        <v>423.81</v>
      </c>
      <c r="D345" s="2">
        <f>IFERROR(__xludf.DUMMYFUNCTION("""COMPUTED_VALUE"""),417.27)</f>
        <v>417.27</v>
      </c>
      <c r="E345" s="2">
        <f>IFERROR(__xludf.DUMMYFUNCTION("""COMPUTED_VALUE"""),423.08)</f>
        <v>423.08</v>
      </c>
      <c r="F345" s="2">
        <f>IFERROR(__xludf.DUMMYFUNCTION("""COMPUTED_VALUE"""),2.2239533E7)</f>
        <v>22239533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IFERROR(__xludf.DUMMYFUNCTION("""COMPUTED_VALUE"""),421.8)</f>
        <v>421.8</v>
      </c>
      <c r="C346" s="2">
        <f>IFERROR(__xludf.DUMMYFUNCTION("""COMPUTED_VALUE"""),425.42)</f>
        <v>425.42</v>
      </c>
      <c r="D346" s="2">
        <f>IFERROR(__xludf.DUMMYFUNCTION("""COMPUTED_VALUE"""),420.35)</f>
        <v>420.35</v>
      </c>
      <c r="E346" s="2">
        <f>IFERROR(__xludf.DUMMYFUNCTION("""COMPUTED_VALUE"""),420.99)</f>
        <v>420.99</v>
      </c>
      <c r="F346" s="2">
        <f>IFERROR(__xludf.DUMMYFUNCTION("""COMPUTED_VALUE"""),1.753005E7)</f>
        <v>17530050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IFERROR(__xludf.DUMMYFUNCTION("""COMPUTED_VALUE"""),422.54)</f>
        <v>422.54</v>
      </c>
      <c r="C347" s="2">
        <f>IFERROR(__xludf.DUMMYFUNCTION("""COMPUTED_VALUE"""),422.92)</f>
        <v>422.92</v>
      </c>
      <c r="D347" s="2">
        <f>IFERROR(__xludf.DUMMYFUNCTION("""COMPUTED_VALUE"""),418.03)</f>
        <v>418.03</v>
      </c>
      <c r="E347" s="2">
        <f>IFERROR(__xludf.DUMMYFUNCTION("""COMPUTED_VALUE"""),420.21)</f>
        <v>420.21</v>
      </c>
      <c r="F347" s="2">
        <f>IFERROR(__xludf.DUMMYFUNCTION("""COMPUTED_VALUE"""),1.5352239E7)</f>
        <v>15352239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IFERROR(__xludf.DUMMYFUNCTION("""COMPUTED_VALUE"""),420.21)</f>
        <v>420.21</v>
      </c>
      <c r="C348" s="2">
        <f>IFERROR(__xludf.DUMMYFUNCTION("""COMPUTED_VALUE"""),426.77)</f>
        <v>426.77</v>
      </c>
      <c r="D348" s="2">
        <f>IFERROR(__xludf.DUMMYFUNCTION("""COMPUTED_VALUE"""),419.99)</f>
        <v>419.99</v>
      </c>
      <c r="E348" s="2">
        <f>IFERROR(__xludf.DUMMYFUNCTION("""COMPUTED_VALUE"""),425.34)</f>
        <v>425.34</v>
      </c>
      <c r="F348" s="2">
        <f>IFERROR(__xludf.DUMMYFUNCTION("""COMPUTED_VALUE"""),1.6272137E7)</f>
        <v>16272137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IFERROR(__xludf.DUMMYFUNCTION("""COMPUTED_VALUE"""),426.83)</f>
        <v>426.83</v>
      </c>
      <c r="C349" s="2">
        <f>IFERROR(__xludf.DUMMYFUNCTION("""COMPUTED_VALUE"""),432.97)</f>
        <v>432.97</v>
      </c>
      <c r="D349" s="2">
        <f>IFERROR(__xludf.DUMMYFUNCTION("""COMPUTED_VALUE"""),424.85)</f>
        <v>424.85</v>
      </c>
      <c r="E349" s="2">
        <f>IFERROR(__xludf.DUMMYFUNCTION("""COMPUTED_VALUE"""),429.04)</f>
        <v>429.04</v>
      </c>
      <c r="F349" s="2">
        <f>IFERROR(__xludf.DUMMYFUNCTION("""COMPUTED_VALUE"""),2.1453255E7)</f>
        <v>21453255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IFERROR(__xludf.DUMMYFUNCTION("""COMPUTED_VALUE"""),430.09)</f>
        <v>430.09</v>
      </c>
      <c r="C350" s="2">
        <f>IFERROR(__xludf.DUMMYFUNCTION("""COMPUTED_VALUE"""),432.41)</f>
        <v>432.41</v>
      </c>
      <c r="D350" s="2">
        <f>IFERROR(__xludf.DUMMYFUNCTION("""COMPUTED_VALUE"""),427.13)</f>
        <v>427.13</v>
      </c>
      <c r="E350" s="2">
        <f>IFERROR(__xludf.DUMMYFUNCTION("""COMPUTED_VALUE"""),430.52)</f>
        <v>430.52</v>
      </c>
      <c r="F350" s="2">
        <f>IFERROR(__xludf.DUMMYFUNCTION("""COMPUTED_VALUE"""),1.8073698E7)</f>
        <v>18073698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IFERROR(__xludf.DUMMYFUNCTION("""COMPUTED_VALUE"""),432.97)</f>
        <v>432.97</v>
      </c>
      <c r="C351" s="2">
        <f>IFERROR(__xludf.DUMMYFUNCTION("""COMPUTED_VALUE"""),433.6)</f>
        <v>433.6</v>
      </c>
      <c r="D351" s="2">
        <f>IFERROR(__xludf.DUMMYFUNCTION("""COMPUTED_VALUE"""),425.42)</f>
        <v>425.42</v>
      </c>
      <c r="E351" s="2">
        <f>IFERROR(__xludf.DUMMYFUNCTION("""COMPUTED_VALUE"""),427.0)</f>
        <v>427</v>
      </c>
      <c r="F351" s="2">
        <f>IFERROR(__xludf.DUMMYFUNCTION("""COMPUTED_VALUE"""),1.7211689E7)</f>
        <v>17211689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IFERROR(__xludf.DUMMYFUNCTION("""COMPUTED_VALUE"""),427.19)</f>
        <v>427.19</v>
      </c>
      <c r="C352" s="2">
        <f>IFERROR(__xludf.DUMMYFUNCTION("""COMPUTED_VALUE"""),431.06)</f>
        <v>431.06</v>
      </c>
      <c r="D352" s="2">
        <f>IFERROR(__xludf.DUMMYFUNCTION("""COMPUTED_VALUE"""),424.41)</f>
        <v>424.41</v>
      </c>
      <c r="E352" s="2">
        <f>IFERROR(__xludf.DUMMYFUNCTION("""COMPUTED_VALUE"""),430.16)</f>
        <v>430.16</v>
      </c>
      <c r="F352" s="2">
        <f>IFERROR(__xludf.DUMMYFUNCTION("""COMPUTED_VALUE"""),1.1855285E7)</f>
        <v>11855285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IFERROR(__xludf.DUMMYFUNCTION("""COMPUTED_VALUE"""),429.63)</f>
        <v>429.63</v>
      </c>
      <c r="C353" s="2">
        <f>IFERROR(__xludf.DUMMYFUNCTION("""COMPUTED_VALUE"""),430.82)</f>
        <v>430.82</v>
      </c>
      <c r="D353" s="2">
        <f>IFERROR(__xludf.DUMMYFUNCTION("""COMPUTED_VALUE"""),426.6)</f>
        <v>426.6</v>
      </c>
      <c r="E353" s="2">
        <f>IFERROR(__xludf.DUMMYFUNCTION("""COMPUTED_VALUE"""),430.32)</f>
        <v>430.32</v>
      </c>
      <c r="F353" s="2">
        <f>IFERROR(__xludf.DUMMYFUNCTION("""COMPUTED_VALUE"""),1.5718024E7)</f>
        <v>15718024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IFERROR(__xludf.DUMMYFUNCTION("""COMPUTED_VALUE"""),425.69)</f>
        <v>425.69</v>
      </c>
      <c r="C354" s="2">
        <f>IFERROR(__xludf.DUMMYFUNCTION("""COMPUTED_VALUE"""),430.94)</f>
        <v>430.94</v>
      </c>
      <c r="D354" s="2">
        <f>IFERROR(__xludf.DUMMYFUNCTION("""COMPUTED_VALUE"""),425.69)</f>
        <v>425.69</v>
      </c>
      <c r="E354" s="2">
        <f>IFERROR(__xludf.DUMMYFUNCTION("""COMPUTED_VALUE"""),429.17)</f>
        <v>429.17</v>
      </c>
      <c r="F354" s="2">
        <f>IFERROR(__xludf.DUMMYFUNCTION("""COMPUTED_VALUE"""),1.551713E7)</f>
        <v>15517130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IFERROR(__xludf.DUMMYFUNCTION("""COMPUTED_VALUE"""),424.3)</f>
        <v>424.3</v>
      </c>
      <c r="C355" s="2">
        <f>IFERROR(__xludf.DUMMYFUNCTION("""COMPUTED_VALUE"""),424.3)</f>
        <v>424.3</v>
      </c>
      <c r="D355" s="2">
        <f>IFERROR(__xludf.DUMMYFUNCTION("""COMPUTED_VALUE"""),414.24)</f>
        <v>414.24</v>
      </c>
      <c r="E355" s="2">
        <f>IFERROR(__xludf.DUMMYFUNCTION("""COMPUTED_VALUE"""),414.67)</f>
        <v>414.67</v>
      </c>
      <c r="F355" s="2">
        <f>IFERROR(__xludf.DUMMYFUNCTION("""COMPUTED_VALUE"""),2.8424847E7)</f>
        <v>28424847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IFERROR(__xludf.DUMMYFUNCTION("""COMPUTED_VALUE"""),416.75)</f>
        <v>416.75</v>
      </c>
      <c r="C356" s="2">
        <f>IFERROR(__xludf.DUMMYFUNCTION("""COMPUTED_VALUE"""),416.75)</f>
        <v>416.75</v>
      </c>
      <c r="D356" s="2">
        <f>IFERROR(__xludf.DUMMYFUNCTION("""COMPUTED_VALUE"""),404.51)</f>
        <v>404.51</v>
      </c>
      <c r="E356" s="2">
        <f>IFERROR(__xludf.DUMMYFUNCTION("""COMPUTED_VALUE"""),415.13)</f>
        <v>415.13</v>
      </c>
      <c r="F356" s="2">
        <f>IFERROR(__xludf.DUMMYFUNCTION("""COMPUTED_VALUE"""),4.799525E7)</f>
        <v>47995250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IFERROR(__xludf.DUMMYFUNCTION("""COMPUTED_VALUE"""),415.53)</f>
        <v>415.53</v>
      </c>
      <c r="C357" s="2">
        <f>IFERROR(__xludf.DUMMYFUNCTION("""COMPUTED_VALUE"""),416.43)</f>
        <v>416.43</v>
      </c>
      <c r="D357" s="2">
        <f>IFERROR(__xludf.DUMMYFUNCTION("""COMPUTED_VALUE"""),408.92)</f>
        <v>408.92</v>
      </c>
      <c r="E357" s="2">
        <f>IFERROR(__xludf.DUMMYFUNCTION("""COMPUTED_VALUE"""),413.52)</f>
        <v>413.52</v>
      </c>
      <c r="F357" s="2">
        <f>IFERROR(__xludf.DUMMYFUNCTION("""COMPUTED_VALUE"""),1.7484675E7)</f>
        <v>17484675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IFERROR(__xludf.DUMMYFUNCTION("""COMPUTED_VALUE"""),412.43)</f>
        <v>412.43</v>
      </c>
      <c r="C358" s="2">
        <f>IFERROR(__xludf.DUMMYFUNCTION("""COMPUTED_VALUE"""),416.44)</f>
        <v>416.44</v>
      </c>
      <c r="D358" s="2">
        <f>IFERROR(__xludf.DUMMYFUNCTION("""COMPUTED_VALUE"""),409.68)</f>
        <v>409.68</v>
      </c>
      <c r="E358" s="2">
        <f>IFERROR(__xludf.DUMMYFUNCTION("""COMPUTED_VALUE"""),416.07)</f>
        <v>416.07</v>
      </c>
      <c r="F358" s="2">
        <f>IFERROR(__xludf.DUMMYFUNCTION("""COMPUTED_VALUE"""),1.4348917E7)</f>
        <v>14348917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IFERROR(__xludf.DUMMYFUNCTION("""COMPUTED_VALUE"""),417.81)</f>
        <v>417.81</v>
      </c>
      <c r="C359" s="2">
        <f>IFERROR(__xludf.DUMMYFUNCTION("""COMPUTED_VALUE"""),424.08)</f>
        <v>424.08</v>
      </c>
      <c r="D359" s="2">
        <f>IFERROR(__xludf.DUMMYFUNCTION("""COMPUTED_VALUE"""),416.3)</f>
        <v>416.3</v>
      </c>
      <c r="E359" s="2">
        <f>IFERROR(__xludf.DUMMYFUNCTION("""COMPUTED_VALUE"""),424.01)</f>
        <v>424.01</v>
      </c>
      <c r="F359" s="2">
        <f>IFERROR(__xludf.DUMMYFUNCTION("""COMPUTED_VALUE"""),1.6988038E7)</f>
        <v>16988038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IFERROR(__xludf.DUMMYFUNCTION("""COMPUTED_VALUE"""),424.01)</f>
        <v>424.01</v>
      </c>
      <c r="C360" s="2">
        <f>IFERROR(__xludf.DUMMYFUNCTION("""COMPUTED_VALUE"""),425.31)</f>
        <v>425.31</v>
      </c>
      <c r="D360" s="2">
        <f>IFERROR(__xludf.DUMMYFUNCTION("""COMPUTED_VALUE"""),420.58)</f>
        <v>420.58</v>
      </c>
      <c r="E360" s="2">
        <f>IFERROR(__xludf.DUMMYFUNCTION("""COMPUTED_VALUE"""),424.52)</f>
        <v>424.52</v>
      </c>
      <c r="F360" s="2">
        <f>IFERROR(__xludf.DUMMYFUNCTION("""COMPUTED_VALUE"""),1.4861251E7)</f>
        <v>14861251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IFERROR(__xludf.DUMMYFUNCTION("""COMPUTED_VALUE"""),426.2)</f>
        <v>426.2</v>
      </c>
      <c r="C361" s="2">
        <f>IFERROR(__xludf.DUMMYFUNCTION("""COMPUTED_VALUE"""),426.28)</f>
        <v>426.28</v>
      </c>
      <c r="D361" s="2">
        <f>IFERROR(__xludf.DUMMYFUNCTION("""COMPUTED_VALUE"""),423.0)</f>
        <v>423</v>
      </c>
      <c r="E361" s="2">
        <f>IFERROR(__xludf.DUMMYFUNCTION("""COMPUTED_VALUE"""),423.85)</f>
        <v>423.85</v>
      </c>
      <c r="F361" s="2">
        <f>IFERROR(__xludf.DUMMYFUNCTION("""COMPUTED_VALUE"""),1.362165E7)</f>
        <v>13621650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IFERROR(__xludf.DUMMYFUNCTION("""COMPUTED_VALUE"""),424.7)</f>
        <v>424.7</v>
      </c>
      <c r="C362" s="2">
        <f>IFERROR(__xludf.DUMMYFUNCTION("""COMPUTED_VALUE"""),428.08)</f>
        <v>428.08</v>
      </c>
      <c r="D362" s="2">
        <f>IFERROR(__xludf.DUMMYFUNCTION("""COMPUTED_VALUE"""),423.89)</f>
        <v>423.89</v>
      </c>
      <c r="E362" s="2">
        <f>IFERROR(__xludf.DUMMYFUNCTION("""COMPUTED_VALUE"""),427.87)</f>
        <v>427.87</v>
      </c>
      <c r="F362" s="2">
        <f>IFERROR(__xludf.DUMMYFUNCTION("""COMPUTED_VALUE"""),1.4003034E7)</f>
        <v>14003034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IFERROR(__xludf.DUMMYFUNCTION("""COMPUTED_VALUE"""),425.48)</f>
        <v>425.48</v>
      </c>
      <c r="C363" s="2">
        <f>IFERROR(__xludf.DUMMYFUNCTION("""COMPUTED_VALUE"""),432.82)</f>
        <v>432.82</v>
      </c>
      <c r="D363" s="2">
        <f>IFERROR(__xludf.DUMMYFUNCTION("""COMPUTED_VALUE"""),425.25)</f>
        <v>425.25</v>
      </c>
      <c r="E363" s="2">
        <f>IFERROR(__xludf.DUMMYFUNCTION("""COMPUTED_VALUE"""),432.68)</f>
        <v>432.68</v>
      </c>
      <c r="F363" s="2">
        <f>IFERROR(__xludf.DUMMYFUNCTION("""COMPUTED_VALUE"""),1.4551101E7)</f>
        <v>14551101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IFERROR(__xludf.DUMMYFUNCTION("""COMPUTED_VALUE"""),435.32)</f>
        <v>435.32</v>
      </c>
      <c r="C364" s="2">
        <f>IFERROR(__xludf.DUMMYFUNCTION("""COMPUTED_VALUE"""),443.4)</f>
        <v>443.4</v>
      </c>
      <c r="D364" s="2">
        <f>IFERROR(__xludf.DUMMYFUNCTION("""COMPUTED_VALUE"""),433.25)</f>
        <v>433.25</v>
      </c>
      <c r="E364" s="2">
        <f>IFERROR(__xludf.DUMMYFUNCTION("""COMPUTED_VALUE"""),441.06)</f>
        <v>441.06</v>
      </c>
      <c r="F364" s="2">
        <f>IFERROR(__xludf.DUMMYFUNCTION("""COMPUTED_VALUE"""),2.2366233E7)</f>
        <v>22366233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IFERROR(__xludf.DUMMYFUNCTION("""COMPUTED_VALUE"""),440.85)</f>
        <v>440.85</v>
      </c>
      <c r="C365" s="2">
        <f>IFERROR(__xludf.DUMMYFUNCTION("""COMPUTED_VALUE"""),443.39)</f>
        <v>443.39</v>
      </c>
      <c r="D365" s="2">
        <f>IFERROR(__xludf.DUMMYFUNCTION("""COMPUTED_VALUE"""),439.37)</f>
        <v>439.37</v>
      </c>
      <c r="E365" s="2">
        <f>IFERROR(__xludf.DUMMYFUNCTION("""COMPUTED_VALUE"""),441.58)</f>
        <v>441.58</v>
      </c>
      <c r="F365" s="2">
        <f>IFERROR(__xludf.DUMMYFUNCTION("""COMPUTED_VALUE"""),1.5960565E7)</f>
        <v>15960565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IFERROR(__xludf.DUMMYFUNCTION("""COMPUTED_VALUE"""),438.28)</f>
        <v>438.28</v>
      </c>
      <c r="C366" s="2">
        <f>IFERROR(__xludf.DUMMYFUNCTION("""COMPUTED_VALUE"""),443.14)</f>
        <v>443.14</v>
      </c>
      <c r="D366" s="2">
        <f>IFERROR(__xludf.DUMMYFUNCTION("""COMPUTED_VALUE"""),436.72)</f>
        <v>436.72</v>
      </c>
      <c r="E366" s="2">
        <f>IFERROR(__xludf.DUMMYFUNCTION("""COMPUTED_VALUE"""),442.57)</f>
        <v>442.57</v>
      </c>
      <c r="F366" s="2">
        <f>IFERROR(__xludf.DUMMYFUNCTION("""COMPUTED_VALUE"""),1.3581985E7)</f>
        <v>13581985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IFERROR(__xludf.DUMMYFUNCTION("""COMPUTED_VALUE"""),442.59)</f>
        <v>442.59</v>
      </c>
      <c r="C367" s="2">
        <f>IFERROR(__xludf.DUMMYFUNCTION("""COMPUTED_VALUE"""),450.94)</f>
        <v>450.94</v>
      </c>
      <c r="D367" s="2">
        <f>IFERROR(__xludf.DUMMYFUNCTION("""COMPUTED_VALUE"""),440.72)</f>
        <v>440.72</v>
      </c>
      <c r="E367" s="2">
        <f>IFERROR(__xludf.DUMMYFUNCTION("""COMPUTED_VALUE"""),448.37)</f>
        <v>448.37</v>
      </c>
      <c r="F367" s="2">
        <f>IFERROR(__xludf.DUMMYFUNCTION("""COMPUTED_VALUE"""),2.079003E7)</f>
        <v>20790030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IFERROR(__xludf.DUMMYFUNCTION("""COMPUTED_VALUE"""),449.71)</f>
        <v>449.71</v>
      </c>
      <c r="C368" s="2">
        <f>IFERROR(__xludf.DUMMYFUNCTION("""COMPUTED_VALUE"""),450.14)</f>
        <v>450.14</v>
      </c>
      <c r="D368" s="2">
        <f>IFERROR(__xludf.DUMMYFUNCTION("""COMPUTED_VALUE"""),444.89)</f>
        <v>444.89</v>
      </c>
      <c r="E368" s="2">
        <f>IFERROR(__xludf.DUMMYFUNCTION("""COMPUTED_VALUE"""),446.34)</f>
        <v>446.34</v>
      </c>
      <c r="F368" s="2">
        <f>IFERROR(__xludf.DUMMYFUNCTION("""COMPUTED_VALUE"""),1.7112504E7)</f>
        <v>17112504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IFERROR(__xludf.DUMMYFUNCTION("""COMPUTED_VALUE"""),446.3)</f>
        <v>446.3</v>
      </c>
      <c r="C369" s="2">
        <f>IFERROR(__xludf.DUMMYFUNCTION("""COMPUTED_VALUE"""),446.53)</f>
        <v>446.53</v>
      </c>
      <c r="D369" s="2">
        <f>IFERROR(__xludf.DUMMYFUNCTION("""COMPUTED_VALUE"""),441.27)</f>
        <v>441.27</v>
      </c>
      <c r="E369" s="2">
        <f>IFERROR(__xludf.DUMMYFUNCTION("""COMPUTED_VALUE"""),445.7)</f>
        <v>445.7</v>
      </c>
      <c r="F369" s="2">
        <f>IFERROR(__xludf.DUMMYFUNCTION("""COMPUTED_VALUE"""),1.9877378E7)</f>
        <v>19877378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IFERROR(__xludf.DUMMYFUNCTION("""COMPUTED_VALUE"""),447.38)</f>
        <v>447.38</v>
      </c>
      <c r="C370" s="2">
        <f>IFERROR(__xludf.DUMMYFUNCTION("""COMPUTED_VALUE"""),450.58)</f>
        <v>450.58</v>
      </c>
      <c r="D370" s="2">
        <f>IFERROR(__xludf.DUMMYFUNCTION("""COMPUTED_VALUE"""),446.51)</f>
        <v>446.51</v>
      </c>
      <c r="E370" s="2">
        <f>IFERROR(__xludf.DUMMYFUNCTION("""COMPUTED_VALUE"""),449.78)</f>
        <v>449.78</v>
      </c>
      <c r="F370" s="2">
        <f>IFERROR(__xludf.DUMMYFUNCTION("""COMPUTED_VALUE"""),3.4486172E7)</f>
        <v>34486172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IFERROR(__xludf.DUMMYFUNCTION("""COMPUTED_VALUE"""),449.8)</f>
        <v>449.8</v>
      </c>
      <c r="C371" s="2">
        <f>IFERROR(__xludf.DUMMYFUNCTION("""COMPUTED_VALUE"""),452.75)</f>
        <v>452.75</v>
      </c>
      <c r="D371" s="2">
        <f>IFERROR(__xludf.DUMMYFUNCTION("""COMPUTED_VALUE"""),446.41)</f>
        <v>446.41</v>
      </c>
      <c r="E371" s="2">
        <f>IFERROR(__xludf.DUMMYFUNCTION("""COMPUTED_VALUE"""),447.67)</f>
        <v>447.67</v>
      </c>
      <c r="F371" s="2">
        <f>IFERROR(__xludf.DUMMYFUNCTION("""COMPUTED_VALUE"""),1.5913719E7)</f>
        <v>15913719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IFERROR(__xludf.DUMMYFUNCTION("""COMPUTED_VALUE"""),448.25)</f>
        <v>448.25</v>
      </c>
      <c r="C372" s="2">
        <f>IFERROR(__xludf.DUMMYFUNCTION("""COMPUTED_VALUE"""),451.42)</f>
        <v>451.42</v>
      </c>
      <c r="D372" s="2">
        <f>IFERROR(__xludf.DUMMYFUNCTION("""COMPUTED_VALUE"""),446.75)</f>
        <v>446.75</v>
      </c>
      <c r="E372" s="2">
        <f>IFERROR(__xludf.DUMMYFUNCTION("""COMPUTED_VALUE"""),450.95)</f>
        <v>450.95</v>
      </c>
      <c r="F372" s="2">
        <f>IFERROR(__xludf.DUMMYFUNCTION("""COMPUTED_VALUE"""),1.6747529E7)</f>
        <v>16747529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IFERROR(__xludf.DUMMYFUNCTION("""COMPUTED_VALUE"""),449.0)</f>
        <v>449</v>
      </c>
      <c r="C373" s="2">
        <f>IFERROR(__xludf.DUMMYFUNCTION("""COMPUTED_VALUE"""),453.6)</f>
        <v>453.6</v>
      </c>
      <c r="D373" s="2">
        <f>IFERROR(__xludf.DUMMYFUNCTION("""COMPUTED_VALUE"""),448.19)</f>
        <v>448.19</v>
      </c>
      <c r="E373" s="2">
        <f>IFERROR(__xludf.DUMMYFUNCTION("""COMPUTED_VALUE"""),452.16)</f>
        <v>452.16</v>
      </c>
      <c r="F373" s="2">
        <f>IFERROR(__xludf.DUMMYFUNCTION("""COMPUTED_VALUE"""),1.650703E7)</f>
        <v>16507030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IFERROR(__xludf.DUMMYFUNCTION("""COMPUTED_VALUE"""),452.18)</f>
        <v>452.18</v>
      </c>
      <c r="C374" s="2">
        <f>IFERROR(__xludf.DUMMYFUNCTION("""COMPUTED_VALUE"""),456.17)</f>
        <v>456.17</v>
      </c>
      <c r="D374" s="2">
        <f>IFERROR(__xludf.DUMMYFUNCTION("""COMPUTED_VALUE"""),451.77)</f>
        <v>451.77</v>
      </c>
      <c r="E374" s="2">
        <f>IFERROR(__xludf.DUMMYFUNCTION("""COMPUTED_VALUE"""),452.85)</f>
        <v>452.85</v>
      </c>
      <c r="F374" s="2">
        <f>IFERROR(__xludf.DUMMYFUNCTION("""COMPUTED_VALUE"""),1.4806324E7)</f>
        <v>14806324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IFERROR(__xludf.DUMMYFUNCTION("""COMPUTED_VALUE"""),453.07)</f>
        <v>453.07</v>
      </c>
      <c r="C375" s="2">
        <f>IFERROR(__xludf.DUMMYFUNCTION("""COMPUTED_VALUE"""),455.38)</f>
        <v>455.38</v>
      </c>
      <c r="D375" s="2">
        <f>IFERROR(__xludf.DUMMYFUNCTION("""COMPUTED_VALUE"""),446.41)</f>
        <v>446.41</v>
      </c>
      <c r="E375" s="2">
        <f>IFERROR(__xludf.DUMMYFUNCTION("""COMPUTED_VALUE"""),446.95)</f>
        <v>446.95</v>
      </c>
      <c r="F375" s="2">
        <f>IFERROR(__xludf.DUMMYFUNCTION("""COMPUTED_VALUE"""),2.8362271E7)</f>
        <v>28362271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IFERROR(__xludf.DUMMYFUNCTION("""COMPUTED_VALUE"""),448.66)</f>
        <v>448.66</v>
      </c>
      <c r="C376" s="2">
        <f>IFERROR(__xludf.DUMMYFUNCTION("""COMPUTED_VALUE"""),457.37)</f>
        <v>457.37</v>
      </c>
      <c r="D376" s="2">
        <f>IFERROR(__xludf.DUMMYFUNCTION("""COMPUTED_VALUE"""),445.66)</f>
        <v>445.66</v>
      </c>
      <c r="E376" s="2">
        <f>IFERROR(__xludf.DUMMYFUNCTION("""COMPUTED_VALUE"""),456.73)</f>
        <v>456.73</v>
      </c>
      <c r="F376" s="2">
        <f>IFERROR(__xludf.DUMMYFUNCTION("""COMPUTED_VALUE"""),1.7662818E7)</f>
        <v>17662818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IFERROR(__xludf.DUMMYFUNCTION("""COMPUTED_VALUE"""),453.2)</f>
        <v>453.2</v>
      </c>
      <c r="C377" s="2">
        <f>IFERROR(__xludf.DUMMYFUNCTION("""COMPUTED_VALUE"""),459.59)</f>
        <v>459.59</v>
      </c>
      <c r="D377" s="2">
        <f>IFERROR(__xludf.DUMMYFUNCTION("""COMPUTED_VALUE"""),453.11)</f>
        <v>453.11</v>
      </c>
      <c r="E377" s="2">
        <f>IFERROR(__xludf.DUMMYFUNCTION("""COMPUTED_VALUE"""),459.28)</f>
        <v>459.28</v>
      </c>
      <c r="F377" s="2">
        <f>IFERROR(__xludf.DUMMYFUNCTION("""COMPUTED_VALUE"""),1.3979779E7)</f>
        <v>13979779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IFERROR(__xludf.DUMMYFUNCTION("""COMPUTED_VALUE"""),458.19)</f>
        <v>458.19</v>
      </c>
      <c r="C378" s="2">
        <f>IFERROR(__xludf.DUMMYFUNCTION("""COMPUTED_VALUE"""),461.02)</f>
        <v>461.02</v>
      </c>
      <c r="D378" s="2">
        <f>IFERROR(__xludf.DUMMYFUNCTION("""COMPUTED_VALUE"""),457.88)</f>
        <v>457.88</v>
      </c>
      <c r="E378" s="2">
        <f>IFERROR(__xludf.DUMMYFUNCTION("""COMPUTED_VALUE"""),460.77)</f>
        <v>460.77</v>
      </c>
      <c r="F378" s="2">
        <f>IFERROR(__xludf.DUMMYFUNCTION("""COMPUTED_VALUE"""),9932830.0)</f>
        <v>9932830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IFERROR(__xludf.DUMMYFUNCTION("""COMPUTED_VALUE"""),459.61)</f>
        <v>459.61</v>
      </c>
      <c r="C379" s="2">
        <f>IFERROR(__xludf.DUMMYFUNCTION("""COMPUTED_VALUE"""),468.35)</f>
        <v>468.35</v>
      </c>
      <c r="D379" s="2">
        <f>IFERROR(__xludf.DUMMYFUNCTION("""COMPUTED_VALUE"""),458.97)</f>
        <v>458.97</v>
      </c>
      <c r="E379" s="2">
        <f>IFERROR(__xludf.DUMMYFUNCTION("""COMPUTED_VALUE"""),467.56)</f>
        <v>467.56</v>
      </c>
      <c r="F379" s="2">
        <f>IFERROR(__xludf.DUMMYFUNCTION("""COMPUTED_VALUE"""),1.600029E7)</f>
        <v>16000290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IFERROR(__xludf.DUMMYFUNCTION("""COMPUTED_VALUE"""),466.55)</f>
        <v>466.55</v>
      </c>
      <c r="C380" s="2">
        <f>IFERROR(__xludf.DUMMYFUNCTION("""COMPUTED_VALUE"""),467.7)</f>
        <v>467.7</v>
      </c>
      <c r="D380" s="2">
        <f>IFERROR(__xludf.DUMMYFUNCTION("""COMPUTED_VALUE"""),464.46)</f>
        <v>464.46</v>
      </c>
      <c r="E380" s="2">
        <f>IFERROR(__xludf.DUMMYFUNCTION("""COMPUTED_VALUE"""),466.24)</f>
        <v>466.24</v>
      </c>
      <c r="F380" s="2">
        <f>IFERROR(__xludf.DUMMYFUNCTION("""COMPUTED_VALUE"""),1.2962321E7)</f>
        <v>12962321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IFERROR(__xludf.DUMMYFUNCTION("""COMPUTED_VALUE"""),467.0)</f>
        <v>467</v>
      </c>
      <c r="C381" s="2">
        <f>IFERROR(__xludf.DUMMYFUNCTION("""COMPUTED_VALUE"""),467.33)</f>
        <v>467.33</v>
      </c>
      <c r="D381" s="2">
        <f>IFERROR(__xludf.DUMMYFUNCTION("""COMPUTED_VALUE"""),458.0)</f>
        <v>458</v>
      </c>
      <c r="E381" s="2">
        <f>IFERROR(__xludf.DUMMYFUNCTION("""COMPUTED_VALUE"""),459.54)</f>
        <v>459.54</v>
      </c>
      <c r="F381" s="2">
        <f>IFERROR(__xludf.DUMMYFUNCTION("""COMPUTED_VALUE"""),1.7228507E7)</f>
        <v>17228507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IFERROR(__xludf.DUMMYFUNCTION("""COMPUTED_VALUE"""),461.22)</f>
        <v>461.22</v>
      </c>
      <c r="C382" s="2">
        <f>IFERROR(__xludf.DUMMYFUNCTION("""COMPUTED_VALUE"""),466.46)</f>
        <v>466.46</v>
      </c>
      <c r="D382" s="2">
        <f>IFERROR(__xludf.DUMMYFUNCTION("""COMPUTED_VALUE"""),458.86)</f>
        <v>458.86</v>
      </c>
      <c r="E382" s="2">
        <f>IFERROR(__xludf.DUMMYFUNCTION("""COMPUTED_VALUE"""),466.25)</f>
        <v>466.25</v>
      </c>
      <c r="F382" s="2">
        <f>IFERROR(__xludf.DUMMYFUNCTION("""COMPUTED_VALUE"""),1.81961E7)</f>
        <v>18196100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IFERROR(__xludf.DUMMYFUNCTION("""COMPUTED_VALUE"""),462.98)</f>
        <v>462.98</v>
      </c>
      <c r="C383" s="2">
        <f>IFERROR(__xludf.DUMMYFUNCTION("""COMPUTED_VALUE"""),464.78)</f>
        <v>464.78</v>
      </c>
      <c r="D383" s="2">
        <f>IFERROR(__xludf.DUMMYFUNCTION("""COMPUTED_VALUE"""),451.55)</f>
        <v>451.55</v>
      </c>
      <c r="E383" s="2">
        <f>IFERROR(__xludf.DUMMYFUNCTION("""COMPUTED_VALUE"""),454.7)</f>
        <v>454.7</v>
      </c>
      <c r="F383" s="2">
        <f>IFERROR(__xludf.DUMMYFUNCTION("""COMPUTED_VALUE"""),2.3111175E7)</f>
        <v>23111175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IFERROR(__xludf.DUMMYFUNCTION("""COMPUTED_VALUE"""),454.33)</f>
        <v>454.33</v>
      </c>
      <c r="C384" s="2">
        <f>IFERROR(__xludf.DUMMYFUNCTION("""COMPUTED_VALUE"""),456.36)</f>
        <v>456.36</v>
      </c>
      <c r="D384" s="2">
        <f>IFERROR(__xludf.DUMMYFUNCTION("""COMPUTED_VALUE"""),450.65)</f>
        <v>450.65</v>
      </c>
      <c r="E384" s="2">
        <f>IFERROR(__xludf.DUMMYFUNCTION("""COMPUTED_VALUE"""),453.55)</f>
        <v>453.55</v>
      </c>
      <c r="F384" s="2">
        <f>IFERROR(__xludf.DUMMYFUNCTION("""COMPUTED_VALUE"""),1.6324274E7)</f>
        <v>16324274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IFERROR(__xludf.DUMMYFUNCTION("""COMPUTED_VALUE"""),453.3)</f>
        <v>453.3</v>
      </c>
      <c r="C385" s="2">
        <f>IFERROR(__xludf.DUMMYFUNCTION("""COMPUTED_VALUE"""),457.26)</f>
        <v>457.26</v>
      </c>
      <c r="D385" s="2">
        <f>IFERROR(__xludf.DUMMYFUNCTION("""COMPUTED_VALUE"""),451.43)</f>
        <v>451.43</v>
      </c>
      <c r="E385" s="2">
        <f>IFERROR(__xludf.DUMMYFUNCTION("""COMPUTED_VALUE"""),453.96)</f>
        <v>453.96</v>
      </c>
      <c r="F385" s="2">
        <f>IFERROR(__xludf.DUMMYFUNCTION("""COMPUTED_VALUE"""),1.4429447E7)</f>
        <v>14429447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IFERROR(__xludf.DUMMYFUNCTION("""COMPUTED_VALUE"""),454.22)</f>
        <v>454.22</v>
      </c>
      <c r="C386" s="2">
        <f>IFERROR(__xludf.DUMMYFUNCTION("""COMPUTED_VALUE"""),454.3)</f>
        <v>454.3</v>
      </c>
      <c r="D386" s="2">
        <f>IFERROR(__xludf.DUMMYFUNCTION("""COMPUTED_VALUE"""),446.66)</f>
        <v>446.66</v>
      </c>
      <c r="E386" s="2">
        <f>IFERROR(__xludf.DUMMYFUNCTION("""COMPUTED_VALUE"""),449.52)</f>
        <v>449.52</v>
      </c>
      <c r="F386" s="2">
        <f>IFERROR(__xludf.DUMMYFUNCTION("""COMPUTED_VALUE"""),1.7175679E7)</f>
        <v>17175679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IFERROR(__xludf.DUMMYFUNCTION("""COMPUTED_VALUE"""),442.59)</f>
        <v>442.59</v>
      </c>
      <c r="C387" s="2">
        <f>IFERROR(__xludf.DUMMYFUNCTION("""COMPUTED_VALUE"""),444.85)</f>
        <v>444.85</v>
      </c>
      <c r="D387" s="2">
        <f>IFERROR(__xludf.DUMMYFUNCTION("""COMPUTED_VALUE"""),439.18)</f>
        <v>439.18</v>
      </c>
      <c r="E387" s="2">
        <f>IFERROR(__xludf.DUMMYFUNCTION("""COMPUTED_VALUE"""),443.52)</f>
        <v>443.52</v>
      </c>
      <c r="F387" s="2">
        <f>IFERROR(__xludf.DUMMYFUNCTION("""COMPUTED_VALUE"""),2.1754021E7)</f>
        <v>21754021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IFERROR(__xludf.DUMMYFUNCTION("""COMPUTED_VALUE"""),444.34)</f>
        <v>444.34</v>
      </c>
      <c r="C388" s="2">
        <f>IFERROR(__xludf.DUMMYFUNCTION("""COMPUTED_VALUE"""),444.65)</f>
        <v>444.65</v>
      </c>
      <c r="D388" s="2">
        <f>IFERROR(__xludf.DUMMYFUNCTION("""COMPUTED_VALUE"""),434.4)</f>
        <v>434.4</v>
      </c>
      <c r="E388" s="2">
        <f>IFERROR(__xludf.DUMMYFUNCTION("""COMPUTED_VALUE"""),440.37)</f>
        <v>440.37</v>
      </c>
      <c r="F388" s="2">
        <f>IFERROR(__xludf.DUMMYFUNCTION("""COMPUTED_VALUE"""),2.0794822E7)</f>
        <v>20794822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IFERROR(__xludf.DUMMYFUNCTION("""COMPUTED_VALUE"""),433.1)</f>
        <v>433.1</v>
      </c>
      <c r="C389" s="2">
        <f>IFERROR(__xludf.DUMMYFUNCTION("""COMPUTED_VALUE"""),441.14)</f>
        <v>441.14</v>
      </c>
      <c r="D389" s="2">
        <f>IFERROR(__xludf.DUMMYFUNCTION("""COMPUTED_VALUE"""),432.0)</f>
        <v>432</v>
      </c>
      <c r="E389" s="2">
        <f>IFERROR(__xludf.DUMMYFUNCTION("""COMPUTED_VALUE"""),437.11)</f>
        <v>437.11</v>
      </c>
      <c r="F389" s="2">
        <f>IFERROR(__xludf.DUMMYFUNCTION("""COMPUTED_VALUE"""),2.0940417E7)</f>
        <v>20940417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IFERROR(__xludf.DUMMYFUNCTION("""COMPUTED_VALUE"""),441.79)</f>
        <v>441.79</v>
      </c>
      <c r="C390" s="2">
        <f>IFERROR(__xludf.DUMMYFUNCTION("""COMPUTED_VALUE"""),444.6)</f>
        <v>444.6</v>
      </c>
      <c r="D390" s="2">
        <f>IFERROR(__xludf.DUMMYFUNCTION("""COMPUTED_VALUE"""),438.91)</f>
        <v>438.91</v>
      </c>
      <c r="E390" s="2">
        <f>IFERROR(__xludf.DUMMYFUNCTION("""COMPUTED_VALUE"""),442.94)</f>
        <v>442.94</v>
      </c>
      <c r="F390" s="2">
        <f>IFERROR(__xludf.DUMMYFUNCTION("""COMPUTED_VALUE"""),1.5808755E7)</f>
        <v>15808755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IFERROR(__xludf.DUMMYFUNCTION("""COMPUTED_VALUE"""),443.9)</f>
        <v>443.9</v>
      </c>
      <c r="C391" s="2">
        <f>IFERROR(__xludf.DUMMYFUNCTION("""COMPUTED_VALUE"""),448.39)</f>
        <v>448.39</v>
      </c>
      <c r="D391" s="2">
        <f>IFERROR(__xludf.DUMMYFUNCTION("""COMPUTED_VALUE"""),443.1)</f>
        <v>443.1</v>
      </c>
      <c r="E391" s="2">
        <f>IFERROR(__xludf.DUMMYFUNCTION("""COMPUTED_VALUE"""),444.85)</f>
        <v>444.85</v>
      </c>
      <c r="F391" s="2">
        <f>IFERROR(__xludf.DUMMYFUNCTION("""COMPUTED_VALUE"""),1.310705E7)</f>
        <v>13107050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IFERROR(__xludf.DUMMYFUNCTION("""COMPUTED_VALUE"""),440.45)</f>
        <v>440.45</v>
      </c>
      <c r="C392" s="2">
        <f>IFERROR(__xludf.DUMMYFUNCTION("""COMPUTED_VALUE"""),441.48)</f>
        <v>441.48</v>
      </c>
      <c r="D392" s="2">
        <f>IFERROR(__xludf.DUMMYFUNCTION("""COMPUTED_VALUE"""),427.59)</f>
        <v>427.59</v>
      </c>
      <c r="E392" s="2">
        <f>IFERROR(__xludf.DUMMYFUNCTION("""COMPUTED_VALUE"""),428.9)</f>
        <v>428.9</v>
      </c>
      <c r="F392" s="2">
        <f>IFERROR(__xludf.DUMMYFUNCTION("""COMPUTED_VALUE"""),2.68058E7)</f>
        <v>26805800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IFERROR(__xludf.DUMMYFUNCTION("""COMPUTED_VALUE"""),428.8)</f>
        <v>428.8</v>
      </c>
      <c r="C393" s="2">
        <f>IFERROR(__xludf.DUMMYFUNCTION("""COMPUTED_VALUE"""),429.8)</f>
        <v>429.8</v>
      </c>
      <c r="D393" s="2">
        <f>IFERROR(__xludf.DUMMYFUNCTION("""COMPUTED_VALUE"""),417.51)</f>
        <v>417.51</v>
      </c>
      <c r="E393" s="2">
        <f>IFERROR(__xludf.DUMMYFUNCTION("""COMPUTED_VALUE"""),418.4)</f>
        <v>418.4</v>
      </c>
      <c r="F393" s="2">
        <f>IFERROR(__xludf.DUMMYFUNCTION("""COMPUTED_VALUE"""),2.9943795E7)</f>
        <v>29943795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IFERROR(__xludf.DUMMYFUNCTION("""COMPUTED_VALUE"""),418.2)</f>
        <v>418.2</v>
      </c>
      <c r="C394" s="2">
        <f>IFERROR(__xludf.DUMMYFUNCTION("""COMPUTED_VALUE"""),428.92)</f>
        <v>428.92</v>
      </c>
      <c r="D394" s="2">
        <f>IFERROR(__xludf.DUMMYFUNCTION("""COMPUTED_VALUE"""),417.27)</f>
        <v>417.27</v>
      </c>
      <c r="E394" s="2">
        <f>IFERROR(__xludf.DUMMYFUNCTION("""COMPUTED_VALUE"""),425.27)</f>
        <v>425.27</v>
      </c>
      <c r="F394" s="2">
        <f>IFERROR(__xludf.DUMMYFUNCTION("""COMPUTED_VALUE"""),2.3583839E7)</f>
        <v>23583839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IFERROR(__xludf.DUMMYFUNCTION("""COMPUTED_VALUE"""),431.58)</f>
        <v>431.58</v>
      </c>
      <c r="C395" s="2">
        <f>IFERROR(__xludf.DUMMYFUNCTION("""COMPUTED_VALUE"""),432.15)</f>
        <v>432.15</v>
      </c>
      <c r="D395" s="2">
        <f>IFERROR(__xludf.DUMMYFUNCTION("""COMPUTED_VALUE"""),424.7)</f>
        <v>424.7</v>
      </c>
      <c r="E395" s="2">
        <f>IFERROR(__xludf.DUMMYFUNCTION("""COMPUTED_VALUE"""),426.73)</f>
        <v>426.73</v>
      </c>
      <c r="F395" s="2">
        <f>IFERROR(__xludf.DUMMYFUNCTION("""COMPUTED_VALUE"""),1.5125836E7)</f>
        <v>15125836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IFERROR(__xludf.DUMMYFUNCTION("""COMPUTED_VALUE"""),427.72)</f>
        <v>427.72</v>
      </c>
      <c r="C396" s="2">
        <f>IFERROR(__xludf.DUMMYFUNCTION("""COMPUTED_VALUE"""),429.05)</f>
        <v>429.05</v>
      </c>
      <c r="D396" s="2">
        <f>IFERROR(__xludf.DUMMYFUNCTION("""COMPUTED_VALUE"""),417.36)</f>
        <v>417.36</v>
      </c>
      <c r="E396" s="2">
        <f>IFERROR(__xludf.DUMMYFUNCTION("""COMPUTED_VALUE"""),422.92)</f>
        <v>422.92</v>
      </c>
      <c r="F396" s="2">
        <f>IFERROR(__xludf.DUMMYFUNCTION("""COMPUTED_VALUE"""),3.2687578E7)</f>
        <v>32687578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IFERROR(__xludf.DUMMYFUNCTION("""COMPUTED_VALUE"""),420.5)</f>
        <v>420.5</v>
      </c>
      <c r="C397" s="2">
        <f>IFERROR(__xludf.DUMMYFUNCTION("""COMPUTED_VALUE"""),421.78)</f>
        <v>421.78</v>
      </c>
      <c r="D397" s="2">
        <f>IFERROR(__xludf.DUMMYFUNCTION("""COMPUTED_VALUE"""),412.21)</f>
        <v>412.21</v>
      </c>
      <c r="E397" s="2">
        <f>IFERROR(__xludf.DUMMYFUNCTION("""COMPUTED_VALUE"""),418.35)</f>
        <v>418.35</v>
      </c>
      <c r="F397" s="2">
        <f>IFERROR(__xludf.DUMMYFUNCTION("""COMPUTED_VALUE"""),4.2891366E7)</f>
        <v>42891366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IFERROR(__xludf.DUMMYFUNCTION("""COMPUTED_VALUE"""),420.79)</f>
        <v>420.79</v>
      </c>
      <c r="C398" s="2">
        <f>IFERROR(__xludf.DUMMYFUNCTION("""COMPUTED_VALUE"""),427.46)</f>
        <v>427.46</v>
      </c>
      <c r="D398" s="2">
        <f>IFERROR(__xludf.DUMMYFUNCTION("""COMPUTED_VALUE"""),413.09)</f>
        <v>413.09</v>
      </c>
      <c r="E398" s="2">
        <f>IFERROR(__xludf.DUMMYFUNCTION("""COMPUTED_VALUE"""),417.11)</f>
        <v>417.11</v>
      </c>
      <c r="F398" s="2">
        <f>IFERROR(__xludf.DUMMYFUNCTION("""COMPUTED_VALUE"""),3.02964E7)</f>
        <v>30296400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IFERROR(__xludf.DUMMYFUNCTION("""COMPUTED_VALUE"""),412.49)</f>
        <v>412.49</v>
      </c>
      <c r="C399" s="2">
        <f>IFERROR(__xludf.DUMMYFUNCTION("""COMPUTED_VALUE"""),415.0)</f>
        <v>415</v>
      </c>
      <c r="D399" s="2">
        <f>IFERROR(__xludf.DUMMYFUNCTION("""COMPUTED_VALUE"""),404.34)</f>
        <v>404.34</v>
      </c>
      <c r="E399" s="2">
        <f>IFERROR(__xludf.DUMMYFUNCTION("""COMPUTED_VALUE"""),408.49)</f>
        <v>408.49</v>
      </c>
      <c r="F399" s="2">
        <f>IFERROR(__xludf.DUMMYFUNCTION("""COMPUTED_VALUE"""),2.94379E7)</f>
        <v>29437900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IFERROR(__xludf.DUMMYFUNCTION("""COMPUTED_VALUE"""),389.17)</f>
        <v>389.17</v>
      </c>
      <c r="C400" s="2">
        <f>IFERROR(__xludf.DUMMYFUNCTION("""COMPUTED_VALUE"""),401.04)</f>
        <v>401.04</v>
      </c>
      <c r="D400" s="2">
        <f>IFERROR(__xludf.DUMMYFUNCTION("""COMPUTED_VALUE"""),385.58)</f>
        <v>385.58</v>
      </c>
      <c r="E400" s="2">
        <f>IFERROR(__xludf.DUMMYFUNCTION("""COMPUTED_VALUE"""),395.15)</f>
        <v>395.15</v>
      </c>
      <c r="F400" s="2">
        <f>IFERROR(__xludf.DUMMYFUNCTION("""COMPUTED_VALUE"""),4.0709238E7)</f>
        <v>40709238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IFERROR(__xludf.DUMMYFUNCTION("""COMPUTED_VALUE"""),400.0)</f>
        <v>400</v>
      </c>
      <c r="C401" s="2">
        <f>IFERROR(__xludf.DUMMYFUNCTION("""COMPUTED_VALUE"""),405.67)</f>
        <v>405.67</v>
      </c>
      <c r="D401" s="2">
        <f>IFERROR(__xludf.DUMMYFUNCTION("""COMPUTED_VALUE"""),398.5)</f>
        <v>398.5</v>
      </c>
      <c r="E401" s="2">
        <f>IFERROR(__xludf.DUMMYFUNCTION("""COMPUTED_VALUE"""),399.61)</f>
        <v>399.61</v>
      </c>
      <c r="F401" s="2">
        <f>IFERROR(__xludf.DUMMYFUNCTION("""COMPUTED_VALUE"""),2.4946525E7)</f>
        <v>24946525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IFERROR(__xludf.DUMMYFUNCTION("""COMPUTED_VALUE"""),408.64)</f>
        <v>408.64</v>
      </c>
      <c r="C402" s="2">
        <f>IFERROR(__xludf.DUMMYFUNCTION("""COMPUTED_VALUE"""),410.08)</f>
        <v>410.08</v>
      </c>
      <c r="D402" s="2">
        <f>IFERROR(__xludf.DUMMYFUNCTION("""COMPUTED_VALUE"""),397.47)</f>
        <v>397.47</v>
      </c>
      <c r="E402" s="2">
        <f>IFERROR(__xludf.DUMMYFUNCTION("""COMPUTED_VALUE"""),398.43)</f>
        <v>398.43</v>
      </c>
      <c r="F402" s="2">
        <f>IFERROR(__xludf.DUMMYFUNCTION("""COMPUTED_VALUE"""),2.0650906E7)</f>
        <v>20650906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IFERROR(__xludf.DUMMYFUNCTION("""COMPUTED_VALUE"""),402.44)</f>
        <v>402.44</v>
      </c>
      <c r="C403" s="2">
        <f>IFERROR(__xludf.DUMMYFUNCTION("""COMPUTED_VALUE"""),405.86)</f>
        <v>405.86</v>
      </c>
      <c r="D403" s="2">
        <f>IFERROR(__xludf.DUMMYFUNCTION("""COMPUTED_VALUE"""),399.94)</f>
        <v>399.94</v>
      </c>
      <c r="E403" s="2">
        <f>IFERROR(__xludf.DUMMYFUNCTION("""COMPUTED_VALUE"""),402.69)</f>
        <v>402.69</v>
      </c>
      <c r="F403" s="2">
        <f>IFERROR(__xludf.DUMMYFUNCTION("""COMPUTED_VALUE"""),2.020303E7)</f>
        <v>20203030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IFERROR(__xludf.DUMMYFUNCTION("""COMPUTED_VALUE"""),404.03)</f>
        <v>404.03</v>
      </c>
      <c r="C404" s="2">
        <f>IFERROR(__xludf.DUMMYFUNCTION("""COMPUTED_VALUE"""),408.05)</f>
        <v>408.05</v>
      </c>
      <c r="D404" s="2">
        <f>IFERROR(__xludf.DUMMYFUNCTION("""COMPUTED_VALUE"""),402.26)</f>
        <v>402.26</v>
      </c>
      <c r="E404" s="2">
        <f>IFERROR(__xludf.DUMMYFUNCTION("""COMPUTED_VALUE"""),406.02)</f>
        <v>406.02</v>
      </c>
      <c r="F404" s="2">
        <f>IFERROR(__xludf.DUMMYFUNCTION("""COMPUTED_VALUE"""),1.9276666E7)</f>
        <v>19276666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IFERROR(__xludf.DUMMYFUNCTION("""COMPUTED_VALUE"""),407.06)</f>
        <v>407.06</v>
      </c>
      <c r="C405" s="2">
        <f>IFERROR(__xludf.DUMMYFUNCTION("""COMPUTED_VALUE"""),408.76)</f>
        <v>408.76</v>
      </c>
      <c r="D405" s="2">
        <f>IFERROR(__xludf.DUMMYFUNCTION("""COMPUTED_VALUE"""),404.24)</f>
        <v>404.24</v>
      </c>
      <c r="E405" s="2">
        <f>IFERROR(__xludf.DUMMYFUNCTION("""COMPUTED_VALUE"""),406.81)</f>
        <v>406.81</v>
      </c>
      <c r="F405" s="2">
        <f>IFERROR(__xludf.DUMMYFUNCTION("""COMPUTED_VALUE"""),1.6762883E7)</f>
        <v>16762883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IFERROR(__xludf.DUMMYFUNCTION("""COMPUTED_VALUE"""),409.59)</f>
        <v>409.59</v>
      </c>
      <c r="C406" s="2">
        <f>IFERROR(__xludf.DUMMYFUNCTION("""COMPUTED_VALUE"""),414.95)</f>
        <v>414.95</v>
      </c>
      <c r="D406" s="2">
        <f>IFERROR(__xludf.DUMMYFUNCTION("""COMPUTED_VALUE"""),409.57)</f>
        <v>409.57</v>
      </c>
      <c r="E406" s="2">
        <f>IFERROR(__xludf.DUMMYFUNCTION("""COMPUTED_VALUE"""),414.01)</f>
        <v>414.01</v>
      </c>
      <c r="F406" s="2">
        <f>IFERROR(__xludf.DUMMYFUNCTION("""COMPUTED_VALUE"""),1.9414271E7)</f>
        <v>19414271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IFERROR(__xludf.DUMMYFUNCTION("""COMPUTED_VALUE"""),414.8)</f>
        <v>414.8</v>
      </c>
      <c r="C407" s="2">
        <f>IFERROR(__xludf.DUMMYFUNCTION("""COMPUTED_VALUE"""),417.72)</f>
        <v>417.72</v>
      </c>
      <c r="D407" s="2">
        <f>IFERROR(__xludf.DUMMYFUNCTION("""COMPUTED_VALUE"""),412.45)</f>
        <v>412.45</v>
      </c>
      <c r="E407" s="2">
        <f>IFERROR(__xludf.DUMMYFUNCTION("""COMPUTED_VALUE"""),416.86)</f>
        <v>416.86</v>
      </c>
      <c r="F407" s="2">
        <f>IFERROR(__xludf.DUMMYFUNCTION("""COMPUTED_VALUE"""),1.826698E7)</f>
        <v>18266980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IFERROR(__xludf.DUMMYFUNCTION("""COMPUTED_VALUE"""),419.8)</f>
        <v>419.8</v>
      </c>
      <c r="C408" s="2">
        <f>IFERROR(__xludf.DUMMYFUNCTION("""COMPUTED_VALUE"""),421.11)</f>
        <v>421.11</v>
      </c>
      <c r="D408" s="2">
        <f>IFERROR(__xludf.DUMMYFUNCTION("""COMPUTED_VALUE"""),417.66)</f>
        <v>417.66</v>
      </c>
      <c r="E408" s="2">
        <f>IFERROR(__xludf.DUMMYFUNCTION("""COMPUTED_VALUE"""),421.03)</f>
        <v>421.03</v>
      </c>
      <c r="F408" s="2">
        <f>IFERROR(__xludf.DUMMYFUNCTION("""COMPUTED_VALUE"""),2.0752144E7)</f>
        <v>20752144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IFERROR(__xludf.DUMMYFUNCTION("""COMPUTED_VALUE"""),420.6)</f>
        <v>420.6</v>
      </c>
      <c r="C409" s="2">
        <f>IFERROR(__xludf.DUMMYFUNCTION("""COMPUTED_VALUE"""),421.34)</f>
        <v>421.34</v>
      </c>
      <c r="D409" s="2">
        <f>IFERROR(__xludf.DUMMYFUNCTION("""COMPUTED_VALUE"""),417.3)</f>
        <v>417.3</v>
      </c>
      <c r="E409" s="2">
        <f>IFERROR(__xludf.DUMMYFUNCTION("""COMPUTED_VALUE"""),418.47)</f>
        <v>418.47</v>
      </c>
      <c r="F409" s="2">
        <f>IFERROR(__xludf.DUMMYFUNCTION("""COMPUTED_VALUE"""),2.2775593E7)</f>
        <v>22775593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IFERROR(__xludf.DUMMYFUNCTION("""COMPUTED_VALUE"""),418.96)</f>
        <v>418.96</v>
      </c>
      <c r="C410" s="2">
        <f>IFERROR(__xludf.DUMMYFUNCTION("""COMPUTED_VALUE"""),421.75)</f>
        <v>421.75</v>
      </c>
      <c r="D410" s="2">
        <f>IFERROR(__xludf.DUMMYFUNCTION("""COMPUTED_VALUE"""),416.46)</f>
        <v>416.46</v>
      </c>
      <c r="E410" s="2">
        <f>IFERROR(__xludf.DUMMYFUNCTION("""COMPUTED_VALUE"""),421.53)</f>
        <v>421.53</v>
      </c>
      <c r="F410" s="2">
        <f>IFERROR(__xludf.DUMMYFUNCTION("""COMPUTED_VALUE"""),1.5233957E7)</f>
        <v>15233957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IFERROR(__xludf.DUMMYFUNCTION("""COMPUTED_VALUE"""),421.7)</f>
        <v>421.7</v>
      </c>
      <c r="C411" s="2">
        <f>IFERROR(__xludf.DUMMYFUNCTION("""COMPUTED_VALUE"""),425.86)</f>
        <v>425.86</v>
      </c>
      <c r="D411" s="2">
        <f>IFERROR(__xludf.DUMMYFUNCTION("""COMPUTED_VALUE"""),421.64)</f>
        <v>421.64</v>
      </c>
      <c r="E411" s="2">
        <f>IFERROR(__xludf.DUMMYFUNCTION("""COMPUTED_VALUE"""),424.8)</f>
        <v>424.8</v>
      </c>
      <c r="F411" s="2">
        <f>IFERROR(__xludf.DUMMYFUNCTION("""COMPUTED_VALUE"""),1.6387581E7)</f>
        <v>16387581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IFERROR(__xludf.DUMMYFUNCTION("""COMPUTED_VALUE"""),424.08)</f>
        <v>424.08</v>
      </c>
      <c r="C412" s="2">
        <f>IFERROR(__xludf.DUMMYFUNCTION("""COMPUTED_VALUE"""),426.4)</f>
        <v>426.4</v>
      </c>
      <c r="D412" s="2">
        <f>IFERROR(__xludf.DUMMYFUNCTION("""COMPUTED_VALUE"""),421.72)</f>
        <v>421.72</v>
      </c>
      <c r="E412" s="2">
        <f>IFERROR(__xludf.DUMMYFUNCTION("""COMPUTED_VALUE"""),424.14)</f>
        <v>424.14</v>
      </c>
      <c r="F412" s="2">
        <f>IFERROR(__xludf.DUMMYFUNCTION("""COMPUTED_VALUE"""),1.6067298E7)</f>
        <v>16067298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IFERROR(__xludf.DUMMYFUNCTION("""COMPUTED_VALUE"""),424.36)</f>
        <v>424.36</v>
      </c>
      <c r="C413" s="2">
        <f>IFERROR(__xludf.DUMMYFUNCTION("""COMPUTED_VALUE"""),426.79)</f>
        <v>426.79</v>
      </c>
      <c r="D413" s="2">
        <f>IFERROR(__xludf.DUMMYFUNCTION("""COMPUTED_VALUE"""),414.61)</f>
        <v>414.61</v>
      </c>
      <c r="E413" s="2">
        <f>IFERROR(__xludf.DUMMYFUNCTION("""COMPUTED_VALUE"""),415.55)</f>
        <v>415.55</v>
      </c>
      <c r="F413" s="2">
        <f>IFERROR(__xludf.DUMMYFUNCTION("""COMPUTED_VALUE"""),1.9361901E7)</f>
        <v>19361901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IFERROR(__xludf.DUMMYFUNCTION("""COMPUTED_VALUE"""),416.98)</f>
        <v>416.98</v>
      </c>
      <c r="C414" s="2">
        <f>IFERROR(__xludf.DUMMYFUNCTION("""COMPUTED_VALUE"""),419.26)</f>
        <v>419.26</v>
      </c>
      <c r="D414" s="2">
        <f>IFERROR(__xludf.DUMMYFUNCTION("""COMPUTED_VALUE"""),412.09)</f>
        <v>412.09</v>
      </c>
      <c r="E414" s="2">
        <f>IFERROR(__xludf.DUMMYFUNCTION("""COMPUTED_VALUE"""),416.79)</f>
        <v>416.79</v>
      </c>
      <c r="F414" s="2">
        <f>IFERROR(__xludf.DUMMYFUNCTION("""COMPUTED_VALUE"""),1.8493784E7)</f>
        <v>18493784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IFERROR(__xludf.DUMMYFUNCTION("""COMPUTED_VALUE"""),416.37)</f>
        <v>416.37</v>
      </c>
      <c r="C415" s="2">
        <f>IFERROR(__xludf.DUMMYFUNCTION("""COMPUTED_VALUE"""),417.28)</f>
        <v>417.28</v>
      </c>
      <c r="D415" s="2">
        <f>IFERROR(__xludf.DUMMYFUNCTION("""COMPUTED_VALUE"""),411.34)</f>
        <v>411.34</v>
      </c>
      <c r="E415" s="2">
        <f>IFERROR(__xludf.DUMMYFUNCTION("""COMPUTED_VALUE"""),413.49)</f>
        <v>413.49</v>
      </c>
      <c r="F415" s="2">
        <f>IFERROR(__xludf.DUMMYFUNCTION("""COMPUTED_VALUE"""),1.315283E7)</f>
        <v>13152830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IFERROR(__xludf.DUMMYFUNCTION("""COMPUTED_VALUE"""),412.86)</f>
        <v>412.86</v>
      </c>
      <c r="C416" s="2">
        <f>IFERROR(__xludf.DUMMYFUNCTION("""COMPUTED_VALUE"""),414.36)</f>
        <v>414.36</v>
      </c>
      <c r="D416" s="2">
        <f>IFERROR(__xludf.DUMMYFUNCTION("""COMPUTED_VALUE"""),410.25)</f>
        <v>410.25</v>
      </c>
      <c r="E416" s="2">
        <f>IFERROR(__xludf.DUMMYFUNCTION("""COMPUTED_VALUE"""),413.84)</f>
        <v>413.84</v>
      </c>
      <c r="F416" s="2">
        <f>IFERROR(__xludf.DUMMYFUNCTION("""COMPUTED_VALUE"""),1.3492911E7)</f>
        <v>13492911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IFERROR(__xludf.DUMMYFUNCTION("""COMPUTED_VALUE"""),414.88)</f>
        <v>414.88</v>
      </c>
      <c r="C417" s="2">
        <f>IFERROR(__xludf.DUMMYFUNCTION("""COMPUTED_VALUE"""),415.0)</f>
        <v>415</v>
      </c>
      <c r="D417" s="2">
        <f>IFERROR(__xludf.DUMMYFUNCTION("""COMPUTED_VALUE"""),407.31)</f>
        <v>407.31</v>
      </c>
      <c r="E417" s="2">
        <f>IFERROR(__xludf.DUMMYFUNCTION("""COMPUTED_VALUE"""),410.6)</f>
        <v>410.6</v>
      </c>
      <c r="F417" s="2">
        <f>IFERROR(__xludf.DUMMYFUNCTION("""COMPUTED_VALUE"""),1.488266E7)</f>
        <v>14882660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IFERROR(__xludf.DUMMYFUNCTION("""COMPUTED_VALUE"""),414.94)</f>
        <v>414.94</v>
      </c>
      <c r="C418" s="2">
        <f>IFERROR(__xludf.DUMMYFUNCTION("""COMPUTED_VALUE"""),422.05)</f>
        <v>422.05</v>
      </c>
      <c r="D418" s="2">
        <f>IFERROR(__xludf.DUMMYFUNCTION("""COMPUTED_VALUE"""),410.6)</f>
        <v>410.6</v>
      </c>
      <c r="E418" s="2">
        <f>IFERROR(__xludf.DUMMYFUNCTION("""COMPUTED_VALUE"""),413.12)</f>
        <v>413.12</v>
      </c>
      <c r="F418" s="2">
        <f>IFERROR(__xludf.DUMMYFUNCTION("""COMPUTED_VALUE"""),1.7045241E7)</f>
        <v>17045241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IFERROR(__xludf.DUMMYFUNCTION("""COMPUTED_VALUE"""),415.6)</f>
        <v>415.6</v>
      </c>
      <c r="C419" s="2">
        <f>IFERROR(__xludf.DUMMYFUNCTION("""COMPUTED_VALUE"""),417.49)</f>
        <v>417.49</v>
      </c>
      <c r="D419" s="2">
        <f>IFERROR(__xludf.DUMMYFUNCTION("""COMPUTED_VALUE"""),412.13)</f>
        <v>412.13</v>
      </c>
      <c r="E419" s="2">
        <f>IFERROR(__xludf.DUMMYFUNCTION("""COMPUTED_VALUE"""),417.14)</f>
        <v>417.14</v>
      </c>
      <c r="F419" s="2">
        <f>IFERROR(__xludf.DUMMYFUNCTION("""COMPUTED_VALUE"""),2.4308324E7)</f>
        <v>24308324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IFERROR(__xludf.DUMMYFUNCTION("""COMPUTED_VALUE"""),417.91)</f>
        <v>417.91</v>
      </c>
      <c r="C420" s="2">
        <f>IFERROR(__xludf.DUMMYFUNCTION("""COMPUTED_VALUE"""),419.88)</f>
        <v>419.88</v>
      </c>
      <c r="D420" s="2">
        <f>IFERROR(__xludf.DUMMYFUNCTION("""COMPUTED_VALUE"""),407.03)</f>
        <v>407.03</v>
      </c>
      <c r="E420" s="2">
        <f>IFERROR(__xludf.DUMMYFUNCTION("""COMPUTED_VALUE"""),409.44)</f>
        <v>409.44</v>
      </c>
      <c r="F420" s="2">
        <f>IFERROR(__xludf.DUMMYFUNCTION("""COMPUTED_VALUE"""),2.0313603E7)</f>
        <v>20313603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IFERROR(__xludf.DUMMYFUNCTION("""COMPUTED_VALUE"""),405.91)</f>
        <v>405.91</v>
      </c>
      <c r="C421" s="2">
        <f>IFERROR(__xludf.DUMMYFUNCTION("""COMPUTED_VALUE"""),411.24)</f>
        <v>411.24</v>
      </c>
      <c r="D421" s="2">
        <f>IFERROR(__xludf.DUMMYFUNCTION("""COMPUTED_VALUE"""),404.37)</f>
        <v>404.37</v>
      </c>
      <c r="E421" s="2">
        <f>IFERROR(__xludf.DUMMYFUNCTION("""COMPUTED_VALUE"""),408.9)</f>
        <v>408.9</v>
      </c>
      <c r="F421" s="2">
        <f>IFERROR(__xludf.DUMMYFUNCTION("""COMPUTED_VALUE"""),1.5135806E7)</f>
        <v>15135806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IFERROR(__xludf.DUMMYFUNCTION("""COMPUTED_VALUE"""),407.62)</f>
        <v>407.62</v>
      </c>
      <c r="C422" s="2">
        <f>IFERROR(__xludf.DUMMYFUNCTION("""COMPUTED_VALUE"""),413.1)</f>
        <v>413.1</v>
      </c>
      <c r="D422" s="2">
        <f>IFERROR(__xludf.DUMMYFUNCTION("""COMPUTED_VALUE"""),406.13)</f>
        <v>406.13</v>
      </c>
      <c r="E422" s="2">
        <f>IFERROR(__xludf.DUMMYFUNCTION("""COMPUTED_VALUE"""),408.39)</f>
        <v>408.39</v>
      </c>
      <c r="F422" s="2">
        <f>IFERROR(__xludf.DUMMYFUNCTION("""COMPUTED_VALUE"""),1.4195516E7)</f>
        <v>14195516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IFERROR(__xludf.DUMMYFUNCTION("""COMPUTED_VALUE"""),409.06)</f>
        <v>409.06</v>
      </c>
      <c r="C423" s="2">
        <f>IFERROR(__xludf.DUMMYFUNCTION("""COMPUTED_VALUE"""),410.65)</f>
        <v>410.65</v>
      </c>
      <c r="D423" s="2">
        <f>IFERROR(__xludf.DUMMYFUNCTION("""COMPUTED_VALUE"""),400.8)</f>
        <v>400.8</v>
      </c>
      <c r="E423" s="2">
        <f>IFERROR(__xludf.DUMMYFUNCTION("""COMPUTED_VALUE"""),401.7)</f>
        <v>401.7</v>
      </c>
      <c r="F423" s="2">
        <f>IFERROR(__xludf.DUMMYFUNCTION("""COMPUTED_VALUE"""),1.9609526E7)</f>
        <v>19609526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IFERROR(__xludf.DUMMYFUNCTION("""COMPUTED_VALUE"""),407.24)</f>
        <v>407.24</v>
      </c>
      <c r="C424" s="2">
        <f>IFERROR(__xludf.DUMMYFUNCTION("""COMPUTED_VALUE"""),408.65)</f>
        <v>408.65</v>
      </c>
      <c r="D424" s="2">
        <f>IFERROR(__xludf.DUMMYFUNCTION("""COMPUTED_VALUE"""),402.15)</f>
        <v>402.15</v>
      </c>
      <c r="E424" s="2">
        <f>IFERROR(__xludf.DUMMYFUNCTION("""COMPUTED_VALUE"""),405.72)</f>
        <v>405.72</v>
      </c>
      <c r="F424" s="2">
        <f>IFERROR(__xludf.DUMMYFUNCTION("""COMPUTED_VALUE"""),1.5295134E7)</f>
        <v>15295134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IFERROR(__xludf.DUMMYFUNCTION("""COMPUTED_VALUE"""),408.2)</f>
        <v>408.2</v>
      </c>
      <c r="C425" s="2">
        <f>IFERROR(__xludf.DUMMYFUNCTION("""COMPUTED_VALUE"""),416.33)</f>
        <v>416.33</v>
      </c>
      <c r="D425" s="2">
        <f>IFERROR(__xludf.DUMMYFUNCTION("""COMPUTED_VALUE"""),407.7)</f>
        <v>407.7</v>
      </c>
      <c r="E425" s="2">
        <f>IFERROR(__xludf.DUMMYFUNCTION("""COMPUTED_VALUE"""),414.2)</f>
        <v>414.2</v>
      </c>
      <c r="F425" s="2">
        <f>IFERROR(__xludf.DUMMYFUNCTION("""COMPUTED_VALUE"""),1.9594287E7)</f>
        <v>19594287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IFERROR(__xludf.DUMMYFUNCTION("""COMPUTED_VALUE"""),415.5)</f>
        <v>415.5</v>
      </c>
      <c r="C426" s="2">
        <f>IFERROR(__xludf.DUMMYFUNCTION("""COMPUTED_VALUE"""),423.99)</f>
        <v>423.99</v>
      </c>
      <c r="D426" s="2">
        <f>IFERROR(__xludf.DUMMYFUNCTION("""COMPUTED_VALUE"""),409.58)</f>
        <v>409.58</v>
      </c>
      <c r="E426" s="2">
        <f>IFERROR(__xludf.DUMMYFUNCTION("""COMPUTED_VALUE"""),423.04)</f>
        <v>423.04</v>
      </c>
      <c r="F426" s="2">
        <f>IFERROR(__xludf.DUMMYFUNCTION("""COMPUTED_VALUE"""),1.9266923E7)</f>
        <v>19266923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IFERROR(__xludf.DUMMYFUNCTION("""COMPUTED_VALUE"""),423.31)</f>
        <v>423.31</v>
      </c>
      <c r="C427" s="2">
        <f>IFERROR(__xludf.DUMMYFUNCTION("""COMPUTED_VALUE"""),427.37)</f>
        <v>427.37</v>
      </c>
      <c r="D427" s="2">
        <f>IFERROR(__xludf.DUMMYFUNCTION("""COMPUTED_VALUE"""),419.75)</f>
        <v>419.75</v>
      </c>
      <c r="E427" s="2">
        <f>IFERROR(__xludf.DUMMYFUNCTION("""COMPUTED_VALUE"""),427.0)</f>
        <v>427</v>
      </c>
      <c r="F427" s="2">
        <f>IFERROR(__xludf.DUMMYFUNCTION("""COMPUTED_VALUE"""),1.7418759E7)</f>
        <v>17418759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IFERROR(__xludf.DUMMYFUNCTION("""COMPUTED_VALUE"""),425.83)</f>
        <v>425.83</v>
      </c>
      <c r="C428" s="2">
        <f>IFERROR(__xludf.DUMMYFUNCTION("""COMPUTED_VALUE"""),431.83)</f>
        <v>431.83</v>
      </c>
      <c r="D428" s="2">
        <f>IFERROR(__xludf.DUMMYFUNCTION("""COMPUTED_VALUE"""),425.46)</f>
        <v>425.46</v>
      </c>
      <c r="E428" s="2">
        <f>IFERROR(__xludf.DUMMYFUNCTION("""COMPUTED_VALUE"""),430.59)</f>
        <v>430.59</v>
      </c>
      <c r="F428" s="2">
        <f>IFERROR(__xludf.DUMMYFUNCTION("""COMPUTED_VALUE"""),1.5874555E7)</f>
        <v>15874555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IFERROR(__xludf.DUMMYFUNCTION("""COMPUTED_VALUE"""),430.6)</f>
        <v>430.6</v>
      </c>
      <c r="C429" s="2">
        <f>IFERROR(__xludf.DUMMYFUNCTION("""COMPUTED_VALUE"""),433.53)</f>
        <v>433.53</v>
      </c>
      <c r="D429" s="2">
        <f>IFERROR(__xludf.DUMMYFUNCTION("""COMPUTED_VALUE"""),428.22)</f>
        <v>428.22</v>
      </c>
      <c r="E429" s="2">
        <f>IFERROR(__xludf.DUMMYFUNCTION("""COMPUTED_VALUE"""),431.34)</f>
        <v>431.34</v>
      </c>
      <c r="F429" s="2">
        <f>IFERROR(__xludf.DUMMYFUNCTION("""COMPUTED_VALUE"""),1.3834697E7)</f>
        <v>13834697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IFERROR(__xludf.DUMMYFUNCTION("""COMPUTED_VALUE"""),440.23)</f>
        <v>440.23</v>
      </c>
      <c r="C430" s="2">
        <f>IFERROR(__xludf.DUMMYFUNCTION("""COMPUTED_VALUE"""),441.85)</f>
        <v>441.85</v>
      </c>
      <c r="D430" s="2">
        <f>IFERROR(__xludf.DUMMYFUNCTION("""COMPUTED_VALUE"""),432.27)</f>
        <v>432.27</v>
      </c>
      <c r="E430" s="2">
        <f>IFERROR(__xludf.DUMMYFUNCTION("""COMPUTED_VALUE"""),435.15)</f>
        <v>435.15</v>
      </c>
      <c r="F430" s="2">
        <f>IFERROR(__xludf.DUMMYFUNCTION("""COMPUTED_VALUE"""),1.8874231E7)</f>
        <v>18874231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IFERROR(__xludf.DUMMYFUNCTION("""COMPUTED_VALUE"""),435.0)</f>
        <v>435</v>
      </c>
      <c r="C431" s="2">
        <f>IFERROR(__xludf.DUMMYFUNCTION("""COMPUTED_VALUE"""),436.03)</f>
        <v>436.03</v>
      </c>
      <c r="D431" s="2">
        <f>IFERROR(__xludf.DUMMYFUNCTION("""COMPUTED_VALUE"""),430.41)</f>
        <v>430.41</v>
      </c>
      <c r="E431" s="2">
        <f>IFERROR(__xludf.DUMMYFUNCTION("""COMPUTED_VALUE"""),430.81)</f>
        <v>430.81</v>
      </c>
      <c r="F431" s="2">
        <f>IFERROR(__xludf.DUMMYFUNCTION("""COMPUTED_VALUE"""),1.8898042E7)</f>
        <v>18898042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IFERROR(__xludf.DUMMYFUNCTION("""COMPUTED_VALUE"""),441.23)</f>
        <v>441.23</v>
      </c>
      <c r="C432" s="2">
        <f>IFERROR(__xludf.DUMMYFUNCTION("""COMPUTED_VALUE"""),441.5)</f>
        <v>441.5</v>
      </c>
      <c r="D432" s="2">
        <f>IFERROR(__xludf.DUMMYFUNCTION("""COMPUTED_VALUE"""),436.9)</f>
        <v>436.9</v>
      </c>
      <c r="E432" s="2">
        <f>IFERROR(__xludf.DUMMYFUNCTION("""COMPUTED_VALUE"""),438.69)</f>
        <v>438.69</v>
      </c>
      <c r="F432" s="2">
        <f>IFERROR(__xludf.DUMMYFUNCTION("""COMPUTED_VALUE"""),2.1706559E7)</f>
        <v>21706559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IFERROR(__xludf.DUMMYFUNCTION("""COMPUTED_VALUE"""),437.22)</f>
        <v>437.22</v>
      </c>
      <c r="C433" s="2">
        <f>IFERROR(__xludf.DUMMYFUNCTION("""COMPUTED_VALUE"""),439.24)</f>
        <v>439.24</v>
      </c>
      <c r="D433" s="2">
        <f>IFERROR(__xludf.DUMMYFUNCTION("""COMPUTED_VALUE"""),434.22)</f>
        <v>434.22</v>
      </c>
      <c r="E433" s="2">
        <f>IFERROR(__xludf.DUMMYFUNCTION("""COMPUTED_VALUE"""),435.27)</f>
        <v>435.27</v>
      </c>
      <c r="F433" s="2">
        <f>IFERROR(__xludf.DUMMYFUNCTION("""COMPUTED_VALUE"""),5.5167106E7)</f>
        <v>55167106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IFERROR(__xludf.DUMMYFUNCTION("""COMPUTED_VALUE"""),434.28)</f>
        <v>434.28</v>
      </c>
      <c r="C434" s="2">
        <f>IFERROR(__xludf.DUMMYFUNCTION("""COMPUTED_VALUE"""),436.46)</f>
        <v>436.46</v>
      </c>
      <c r="D434" s="2">
        <f>IFERROR(__xludf.DUMMYFUNCTION("""COMPUTED_VALUE"""),430.39)</f>
        <v>430.39</v>
      </c>
      <c r="E434" s="2">
        <f>IFERROR(__xludf.DUMMYFUNCTION("""COMPUTED_VALUE"""),433.51)</f>
        <v>433.51</v>
      </c>
      <c r="F434" s="2">
        <f>IFERROR(__xludf.DUMMYFUNCTION("""COMPUTED_VALUE"""),1.5128891E7)</f>
        <v>15128891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IFERROR(__xludf.DUMMYFUNCTION("""COMPUTED_VALUE"""),433.0)</f>
        <v>433</v>
      </c>
      <c r="C435" s="2">
        <f>IFERROR(__xludf.DUMMYFUNCTION("""COMPUTED_VALUE"""),433.35)</f>
        <v>433.35</v>
      </c>
      <c r="D435" s="2">
        <f>IFERROR(__xludf.DUMMYFUNCTION("""COMPUTED_VALUE"""),426.1)</f>
        <v>426.1</v>
      </c>
      <c r="E435" s="2">
        <f>IFERROR(__xludf.DUMMYFUNCTION("""COMPUTED_VALUE"""),429.17)</f>
        <v>429.17</v>
      </c>
      <c r="F435" s="2">
        <f>IFERROR(__xludf.DUMMYFUNCTION("""COMPUTED_VALUE"""),1.7015754E7)</f>
        <v>17015754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IFERROR(__xludf.DUMMYFUNCTION("""COMPUTED_VALUE"""),429.83)</f>
        <v>429.83</v>
      </c>
      <c r="C436" s="2">
        <f>IFERROR(__xludf.DUMMYFUNCTION("""COMPUTED_VALUE"""),433.12)</f>
        <v>433.12</v>
      </c>
      <c r="D436" s="2">
        <f>IFERROR(__xludf.DUMMYFUNCTION("""COMPUTED_VALUE"""),428.57)</f>
        <v>428.57</v>
      </c>
      <c r="E436" s="2">
        <f>IFERROR(__xludf.DUMMYFUNCTION("""COMPUTED_VALUE"""),432.11)</f>
        <v>432.11</v>
      </c>
      <c r="F436" s="2">
        <f>IFERROR(__xludf.DUMMYFUNCTION("""COMPUTED_VALUE"""),1.3396364E7)</f>
        <v>13396364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IFERROR(__xludf.DUMMYFUNCTION("""COMPUTED_VALUE"""),435.09)</f>
        <v>435.09</v>
      </c>
      <c r="C437" s="2">
        <f>IFERROR(__xludf.DUMMYFUNCTION("""COMPUTED_VALUE"""),435.3)</f>
        <v>435.3</v>
      </c>
      <c r="D437" s="2">
        <f>IFERROR(__xludf.DUMMYFUNCTION("""COMPUTED_VALUE"""),429.13)</f>
        <v>429.13</v>
      </c>
      <c r="E437" s="2">
        <f>IFERROR(__xludf.DUMMYFUNCTION("""COMPUTED_VALUE"""),431.31)</f>
        <v>431.31</v>
      </c>
      <c r="F437" s="2">
        <f>IFERROR(__xludf.DUMMYFUNCTION("""COMPUTED_VALUE"""),1.4492044E7)</f>
        <v>14492044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IFERROR(__xludf.DUMMYFUNCTION("""COMPUTED_VALUE"""),431.52)</f>
        <v>431.52</v>
      </c>
      <c r="C438" s="2">
        <f>IFERROR(__xludf.DUMMYFUNCTION("""COMPUTED_VALUE"""),431.85)</f>
        <v>431.85</v>
      </c>
      <c r="D438" s="2">
        <f>IFERROR(__xludf.DUMMYFUNCTION("""COMPUTED_VALUE"""),427.47)</f>
        <v>427.47</v>
      </c>
      <c r="E438" s="2">
        <f>IFERROR(__xludf.DUMMYFUNCTION("""COMPUTED_VALUE"""),428.02)</f>
        <v>428.02</v>
      </c>
      <c r="F438" s="2">
        <f>IFERROR(__xludf.DUMMYFUNCTION("""COMPUTED_VALUE"""),1.4896131E7)</f>
        <v>14896131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IFERROR(__xludf.DUMMYFUNCTION("""COMPUTED_VALUE"""),428.21)</f>
        <v>428.21</v>
      </c>
      <c r="C439" s="2">
        <f>IFERROR(__xludf.DUMMYFUNCTION("""COMPUTED_VALUE"""),430.42)</f>
        <v>430.42</v>
      </c>
      <c r="D439" s="2">
        <f>IFERROR(__xludf.DUMMYFUNCTION("""COMPUTED_VALUE"""),425.37)</f>
        <v>425.37</v>
      </c>
      <c r="E439" s="2">
        <f>IFERROR(__xludf.DUMMYFUNCTION("""COMPUTED_VALUE"""),430.3)</f>
        <v>430.3</v>
      </c>
      <c r="F439" s="2">
        <f>IFERROR(__xludf.DUMMYFUNCTION("""COMPUTED_VALUE"""),1.6854606E7)</f>
        <v>16854606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IFERROR(__xludf.DUMMYFUNCTION("""COMPUTED_VALUE"""),428.45)</f>
        <v>428.45</v>
      </c>
      <c r="C440" s="2">
        <f>IFERROR(__xludf.DUMMYFUNCTION("""COMPUTED_VALUE"""),428.48)</f>
        <v>428.48</v>
      </c>
      <c r="D440" s="2">
        <f>IFERROR(__xludf.DUMMYFUNCTION("""COMPUTED_VALUE"""),418.81)</f>
        <v>418.81</v>
      </c>
      <c r="E440" s="2">
        <f>IFERROR(__xludf.DUMMYFUNCTION("""COMPUTED_VALUE"""),420.69)</f>
        <v>420.69</v>
      </c>
      <c r="F440" s="2">
        <f>IFERROR(__xludf.DUMMYFUNCTION("""COMPUTED_VALUE"""),1.9092945E7)</f>
        <v>19092945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IFERROR(__xludf.DUMMYFUNCTION("""COMPUTED_VALUE"""),422.58)</f>
        <v>422.58</v>
      </c>
      <c r="C441" s="2">
        <f>IFERROR(__xludf.DUMMYFUNCTION("""COMPUTED_VALUE"""),422.82)</f>
        <v>422.82</v>
      </c>
      <c r="D441" s="2">
        <f>IFERROR(__xludf.DUMMYFUNCTION("""COMPUTED_VALUE"""),416.71)</f>
        <v>416.71</v>
      </c>
      <c r="E441" s="2">
        <f>IFERROR(__xludf.DUMMYFUNCTION("""COMPUTED_VALUE"""),417.13)</f>
        <v>417.13</v>
      </c>
      <c r="F441" s="2">
        <f>IFERROR(__xludf.DUMMYFUNCTION("""COMPUTED_VALUE"""),1.6582257E7)</f>
        <v>16582257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IFERROR(__xludf.DUMMYFUNCTION("""COMPUTED_VALUE"""),417.63)</f>
        <v>417.63</v>
      </c>
      <c r="C442" s="2">
        <f>IFERROR(__xludf.DUMMYFUNCTION("""COMPUTED_VALUE"""),419.55)</f>
        <v>419.55</v>
      </c>
      <c r="D442" s="2">
        <f>IFERROR(__xludf.DUMMYFUNCTION("""COMPUTED_VALUE"""),414.29)</f>
        <v>414.29</v>
      </c>
      <c r="E442" s="2">
        <f>IFERROR(__xludf.DUMMYFUNCTION("""COMPUTED_VALUE"""),416.54)</f>
        <v>416.54</v>
      </c>
      <c r="F442" s="2">
        <f>IFERROR(__xludf.DUMMYFUNCTION("""COMPUTED_VALUE"""),1.3686421E7)</f>
        <v>13686421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IFERROR(__xludf.DUMMYFUNCTION("""COMPUTED_VALUE"""),418.24)</f>
        <v>418.24</v>
      </c>
      <c r="C443" s="2">
        <f>IFERROR(__xludf.DUMMYFUNCTION("""COMPUTED_VALUE"""),419.75)</f>
        <v>419.75</v>
      </c>
      <c r="D443" s="2">
        <f>IFERROR(__xludf.DUMMYFUNCTION("""COMPUTED_VALUE"""),414.97)</f>
        <v>414.97</v>
      </c>
      <c r="E443" s="2">
        <f>IFERROR(__xludf.DUMMYFUNCTION("""COMPUTED_VALUE"""),416.06)</f>
        <v>416.06</v>
      </c>
      <c r="F443" s="2">
        <f>IFERROR(__xludf.DUMMYFUNCTION("""COMPUTED_VALUE"""),1.9190913E7)</f>
        <v>19190913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IFERROR(__xludf.DUMMYFUNCTION("""COMPUTED_VALUE"""),416.0)</f>
        <v>416</v>
      </c>
      <c r="C444" s="2">
        <f>IFERROR(__xludf.DUMMYFUNCTION("""COMPUTED_VALUE"""),417.11)</f>
        <v>417.11</v>
      </c>
      <c r="D444" s="2">
        <f>IFERROR(__xludf.DUMMYFUNCTION("""COMPUTED_VALUE"""),409.0)</f>
        <v>409</v>
      </c>
      <c r="E444" s="2">
        <f>IFERROR(__xludf.DUMMYFUNCTION("""COMPUTED_VALUE"""),409.54)</f>
        <v>409.54</v>
      </c>
      <c r="F444" s="2">
        <f>IFERROR(__xludf.DUMMYFUNCTION("""COMPUTED_VALUE"""),2.0919761E7)</f>
        <v>20919761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IFERROR(__xludf.DUMMYFUNCTION("""COMPUTED_VALUE"""),410.9)</f>
        <v>410.9</v>
      </c>
      <c r="C445" s="2">
        <f>IFERROR(__xludf.DUMMYFUNCTION("""COMPUTED_VALUE"""),415.66)</f>
        <v>415.66</v>
      </c>
      <c r="D445" s="2">
        <f>IFERROR(__xludf.DUMMYFUNCTION("""COMPUTED_VALUE"""),408.17)</f>
        <v>408.17</v>
      </c>
      <c r="E445" s="2">
        <f>IFERROR(__xludf.DUMMYFUNCTION("""COMPUTED_VALUE"""),414.71)</f>
        <v>414.71</v>
      </c>
      <c r="F445" s="2">
        <f>IFERROR(__xludf.DUMMYFUNCTION("""COMPUTED_VALUE"""),1.9229261E7)</f>
        <v>19229261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IFERROR(__xludf.DUMMYFUNCTION("""COMPUTED_VALUE"""),415.86)</f>
        <v>415.86</v>
      </c>
      <c r="C446" s="2">
        <f>IFERROR(__xludf.DUMMYFUNCTION("""COMPUTED_VALUE"""),420.38)</f>
        <v>420.38</v>
      </c>
      <c r="D446" s="2">
        <f>IFERROR(__xludf.DUMMYFUNCTION("""COMPUTED_VALUE"""),414.3)</f>
        <v>414.3</v>
      </c>
      <c r="E446" s="2">
        <f>IFERROR(__xludf.DUMMYFUNCTION("""COMPUTED_VALUE"""),417.46)</f>
        <v>417.46</v>
      </c>
      <c r="F446" s="2">
        <f>IFERROR(__xludf.DUMMYFUNCTION("""COMPUTED_VALUE"""),1.4974257E7)</f>
        <v>14974257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IFERROR(__xludf.DUMMYFUNCTION("""COMPUTED_VALUE"""),415.23)</f>
        <v>415.23</v>
      </c>
      <c r="C447" s="2">
        <f>IFERROR(__xludf.DUMMYFUNCTION("""COMPUTED_VALUE"""),417.35)</f>
        <v>417.35</v>
      </c>
      <c r="D447" s="2">
        <f>IFERROR(__xludf.DUMMYFUNCTION("""COMPUTED_VALUE"""),413.15)</f>
        <v>413.15</v>
      </c>
      <c r="E447" s="2">
        <f>IFERROR(__xludf.DUMMYFUNCTION("""COMPUTED_VALUE"""),415.84)</f>
        <v>415.84</v>
      </c>
      <c r="F447" s="2">
        <f>IFERROR(__xludf.DUMMYFUNCTION("""COMPUTED_VALUE"""),1.3848376E7)</f>
        <v>13848376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IFERROR(__xludf.DUMMYFUNCTION("""COMPUTED_VALUE"""),416.14)</f>
        <v>416.14</v>
      </c>
      <c r="C448" s="2">
        <f>IFERROR(__xludf.DUMMYFUNCTION("""COMPUTED_VALUE"""),417.13)</f>
        <v>417.13</v>
      </c>
      <c r="D448" s="2">
        <f>IFERROR(__xludf.DUMMYFUNCTION("""COMPUTED_VALUE"""),413.25)</f>
        <v>413.25</v>
      </c>
      <c r="E448" s="2">
        <f>IFERROR(__xludf.DUMMYFUNCTION("""COMPUTED_VALUE"""),416.32)</f>
        <v>416.32</v>
      </c>
      <c r="F448" s="2">
        <f>IFERROR(__xludf.DUMMYFUNCTION("""COMPUTED_VALUE"""),1.4144944E7)</f>
        <v>14144944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IFERROR(__xludf.DUMMYFUNCTION("""COMPUTED_VALUE"""),417.77)</f>
        <v>417.77</v>
      </c>
      <c r="C449" s="2">
        <f>IFERROR(__xludf.DUMMYFUNCTION("""COMPUTED_VALUE"""),424.04)</f>
        <v>424.04</v>
      </c>
      <c r="D449" s="2">
        <f>IFERROR(__xludf.DUMMYFUNCTION("""COMPUTED_VALUE"""),417.52)</f>
        <v>417.52</v>
      </c>
      <c r="E449" s="2">
        <f>IFERROR(__xludf.DUMMYFUNCTION("""COMPUTED_VALUE"""),419.14)</f>
        <v>419.14</v>
      </c>
      <c r="F449" s="2">
        <f>IFERROR(__xludf.DUMMYFUNCTION("""COMPUTED_VALUE"""),1.6653086E7)</f>
        <v>16653086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IFERROR(__xludf.DUMMYFUNCTION("""COMPUTED_VALUE"""),422.18)</f>
        <v>422.18</v>
      </c>
      <c r="C450" s="2">
        <f>IFERROR(__xludf.DUMMYFUNCTION("""COMPUTED_VALUE"""),422.48)</f>
        <v>422.48</v>
      </c>
      <c r="D450" s="2">
        <f>IFERROR(__xludf.DUMMYFUNCTION("""COMPUTED_VALUE"""),415.26)</f>
        <v>415.26</v>
      </c>
      <c r="E450" s="2">
        <f>IFERROR(__xludf.DUMMYFUNCTION("""COMPUTED_VALUE"""),418.74)</f>
        <v>418.74</v>
      </c>
      <c r="F450" s="2">
        <f>IFERROR(__xludf.DUMMYFUNCTION("""COMPUTED_VALUE"""),1.8900201E7)</f>
        <v>18900201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IFERROR(__xludf.DUMMYFUNCTION("""COMPUTED_VALUE"""),415.17)</f>
        <v>415.17</v>
      </c>
      <c r="C451" s="2">
        <f>IFERROR(__xludf.DUMMYFUNCTION("""COMPUTED_VALUE"""),416.36)</f>
        <v>416.36</v>
      </c>
      <c r="D451" s="2">
        <f>IFERROR(__xludf.DUMMYFUNCTION("""COMPUTED_VALUE"""),410.48)</f>
        <v>410.48</v>
      </c>
      <c r="E451" s="2">
        <f>IFERROR(__xludf.DUMMYFUNCTION("""COMPUTED_VALUE"""),416.12)</f>
        <v>416.12</v>
      </c>
      <c r="F451" s="2">
        <f>IFERROR(__xludf.DUMMYFUNCTION("""COMPUTED_VALUE"""),1.5508932E7)</f>
        <v>15508932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IFERROR(__xludf.DUMMYFUNCTION("""COMPUTED_VALUE"""),422.36)</f>
        <v>422.36</v>
      </c>
      <c r="C452" s="2">
        <f>IFERROR(__xludf.DUMMYFUNCTION("""COMPUTED_VALUE"""),422.5)</f>
        <v>422.5</v>
      </c>
      <c r="D452" s="2">
        <f>IFERROR(__xludf.DUMMYFUNCTION("""COMPUTED_VALUE"""),415.59)</f>
        <v>415.59</v>
      </c>
      <c r="E452" s="2">
        <f>IFERROR(__xludf.DUMMYFUNCTION("""COMPUTED_VALUE"""),416.72)</f>
        <v>416.72</v>
      </c>
      <c r="F452" s="2">
        <f>IFERROR(__xludf.DUMMYFUNCTION("""COMPUTED_VALUE"""),1.4820004E7)</f>
        <v>14820004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IFERROR(__xludf.DUMMYFUNCTION("""COMPUTED_VALUE"""),417.14)</f>
        <v>417.14</v>
      </c>
      <c r="C453" s="2">
        <f>IFERROR(__xludf.DUMMYFUNCTION("""COMPUTED_VALUE"""),419.65)</f>
        <v>419.65</v>
      </c>
      <c r="D453" s="2">
        <f>IFERROR(__xludf.DUMMYFUNCTION("""COMPUTED_VALUE"""),416.26)</f>
        <v>416.26</v>
      </c>
      <c r="E453" s="2">
        <f>IFERROR(__xludf.DUMMYFUNCTION("""COMPUTED_VALUE"""),418.16)</f>
        <v>418.16</v>
      </c>
      <c r="F453" s="2">
        <f>IFERROR(__xludf.DUMMYFUNCTION("""COMPUTED_VALUE"""),1.7145317E7)</f>
        <v>17145317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IFERROR(__xludf.DUMMYFUNCTION("""COMPUTED_VALUE"""),416.12)</f>
        <v>416.12</v>
      </c>
      <c r="C454" s="2">
        <f>IFERROR(__xludf.DUMMYFUNCTION("""COMPUTED_VALUE"""),418.96)</f>
        <v>418.96</v>
      </c>
      <c r="D454" s="2">
        <f>IFERROR(__xludf.DUMMYFUNCTION("""COMPUTED_VALUE"""),413.75)</f>
        <v>413.75</v>
      </c>
      <c r="E454" s="2">
        <f>IFERROR(__xludf.DUMMYFUNCTION("""COMPUTED_VALUE"""),418.78)</f>
        <v>418.78</v>
      </c>
      <c r="F454" s="2">
        <f>IFERROR(__xludf.DUMMYFUNCTION("""COMPUTED_VALUE"""),1.4206115E7)</f>
        <v>14206115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IFERROR(__xludf.DUMMYFUNCTION("""COMPUTED_VALUE"""),418.49)</f>
        <v>418.49</v>
      </c>
      <c r="C455" s="2">
        <f>IFERROR(__xludf.DUMMYFUNCTION("""COMPUTED_VALUE"""),430.58)</f>
        <v>430.58</v>
      </c>
      <c r="D455" s="2">
        <f>IFERROR(__xludf.DUMMYFUNCTION("""COMPUTED_VALUE"""),418.04)</f>
        <v>418.04</v>
      </c>
      <c r="E455" s="2">
        <f>IFERROR(__xludf.DUMMYFUNCTION("""COMPUTED_VALUE"""),427.51)</f>
        <v>427.51</v>
      </c>
      <c r="F455" s="2">
        <f>IFERROR(__xludf.DUMMYFUNCTION("""COMPUTED_VALUE"""),2.5482197E7)</f>
        <v>25482197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IFERROR(__xludf.DUMMYFUNCTION("""COMPUTED_VALUE"""),430.86)</f>
        <v>430.86</v>
      </c>
      <c r="C456" s="2">
        <f>IFERROR(__xludf.DUMMYFUNCTION("""COMPUTED_VALUE"""),431.08)</f>
        <v>431.08</v>
      </c>
      <c r="D456" s="2">
        <f>IFERROR(__xludf.DUMMYFUNCTION("""COMPUTED_VALUE"""),422.53)</f>
        <v>422.53</v>
      </c>
      <c r="E456" s="2">
        <f>IFERROR(__xludf.DUMMYFUNCTION("""COMPUTED_VALUE"""),424.6)</f>
        <v>424.6</v>
      </c>
      <c r="F456" s="2">
        <f>IFERROR(__xludf.DUMMYFUNCTION("""COMPUTED_VALUE"""),1.9654379E7)</f>
        <v>19654379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IFERROR(__xludf.DUMMYFUNCTION("""COMPUTED_VALUE"""),425.33)</f>
        <v>425.33</v>
      </c>
      <c r="C457" s="2">
        <f>IFERROR(__xludf.DUMMYFUNCTION("""COMPUTED_VALUE"""),425.98)</f>
        <v>425.98</v>
      </c>
      <c r="D457" s="2">
        <f>IFERROR(__xludf.DUMMYFUNCTION("""COMPUTED_VALUE"""),422.4)</f>
        <v>422.4</v>
      </c>
      <c r="E457" s="2">
        <f>IFERROR(__xludf.DUMMYFUNCTION("""COMPUTED_VALUE"""),424.73)</f>
        <v>424.73</v>
      </c>
      <c r="F457" s="2">
        <f>IFERROR(__xludf.DUMMYFUNCTION("""COMPUTED_VALUE"""),1.3581631E7)</f>
        <v>13581631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IFERROR(__xludf.DUMMYFUNCTION("""COMPUTED_VALUE"""),426.76)</f>
        <v>426.76</v>
      </c>
      <c r="C458" s="2">
        <f>IFERROR(__xludf.DUMMYFUNCTION("""COMPUTED_VALUE"""),432.52)</f>
        <v>432.52</v>
      </c>
      <c r="D458" s="2">
        <f>IFERROR(__xludf.DUMMYFUNCTION("""COMPUTED_VALUE"""),426.57)</f>
        <v>426.57</v>
      </c>
      <c r="E458" s="2">
        <f>IFERROR(__xludf.DUMMYFUNCTION("""COMPUTED_VALUE"""),428.15)</f>
        <v>428.15</v>
      </c>
      <c r="F458" s="2">
        <f>IFERROR(__xludf.DUMMYFUNCTION("""COMPUTED_VALUE"""),1.6899064E7)</f>
        <v>16899064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IFERROR(__xludf.DUMMYFUNCTION("""COMPUTED_VALUE"""),431.66)</f>
        <v>431.66</v>
      </c>
      <c r="C459" s="2">
        <f>IFERROR(__xludf.DUMMYFUNCTION("""COMPUTED_VALUE"""),431.94)</f>
        <v>431.94</v>
      </c>
      <c r="D459" s="2">
        <f>IFERROR(__xludf.DUMMYFUNCTION("""COMPUTED_VALUE"""),426.3)</f>
        <v>426.3</v>
      </c>
      <c r="E459" s="2">
        <f>IFERROR(__xludf.DUMMYFUNCTION("""COMPUTED_VALUE"""),426.59)</f>
        <v>426.59</v>
      </c>
      <c r="F459" s="2">
        <f>IFERROR(__xludf.DUMMYFUNCTION("""COMPUTED_VALUE"""),1.4882444E7)</f>
        <v>14882444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IFERROR(__xludf.DUMMYFUNCTION("""COMPUTED_VALUE"""),428.0)</f>
        <v>428</v>
      </c>
      <c r="C460" s="2">
        <f>IFERROR(__xludf.DUMMYFUNCTION("""COMPUTED_VALUE"""),433.17)</f>
        <v>433.17</v>
      </c>
      <c r="D460" s="2">
        <f>IFERROR(__xludf.DUMMYFUNCTION("""COMPUTED_VALUE"""),425.8)</f>
        <v>425.8</v>
      </c>
      <c r="E460" s="2">
        <f>IFERROR(__xludf.DUMMYFUNCTION("""COMPUTED_VALUE"""),431.95)</f>
        <v>431.95</v>
      </c>
      <c r="F460" s="2">
        <f>IFERROR(__xludf.DUMMYFUNCTION("""COMPUTED_VALUE"""),1.764408E7)</f>
        <v>17644080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IFERROR(__xludf.DUMMYFUNCTION("""COMPUTED_VALUE"""),437.44)</f>
        <v>437.44</v>
      </c>
      <c r="C461" s="2">
        <f>IFERROR(__xludf.DUMMYFUNCTION("""COMPUTED_VALUE"""),438.5)</f>
        <v>438.5</v>
      </c>
      <c r="D461" s="2">
        <f>IFERROR(__xludf.DUMMYFUNCTION("""COMPUTED_VALUE"""),432.1)</f>
        <v>432.1</v>
      </c>
      <c r="E461" s="2">
        <f>IFERROR(__xludf.DUMMYFUNCTION("""COMPUTED_VALUE"""),432.53)</f>
        <v>432.53</v>
      </c>
      <c r="F461" s="2">
        <f>IFERROR(__xludf.DUMMYFUNCTION("""COMPUTED_VALUE"""),2.9749149E7)</f>
        <v>29749149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IFERROR(__xludf.DUMMYFUNCTION("""COMPUTED_VALUE"""),415.36)</f>
        <v>415.36</v>
      </c>
      <c r="C462" s="2">
        <f>IFERROR(__xludf.DUMMYFUNCTION("""COMPUTED_VALUE"""),416.16)</f>
        <v>416.16</v>
      </c>
      <c r="D462" s="2">
        <f>IFERROR(__xludf.DUMMYFUNCTION("""COMPUTED_VALUE"""),406.3)</f>
        <v>406.3</v>
      </c>
      <c r="E462" s="2">
        <f>IFERROR(__xludf.DUMMYFUNCTION("""COMPUTED_VALUE"""),406.35)</f>
        <v>406.35</v>
      </c>
      <c r="F462" s="2">
        <f>IFERROR(__xludf.DUMMYFUNCTION("""COMPUTED_VALUE"""),5.3970981E7)</f>
        <v>53970981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IFERROR(__xludf.DUMMYFUNCTION("""COMPUTED_VALUE"""),409.01)</f>
        <v>409.01</v>
      </c>
      <c r="C463" s="2">
        <f>IFERROR(__xludf.DUMMYFUNCTION("""COMPUTED_VALUE"""),415.5)</f>
        <v>415.5</v>
      </c>
      <c r="D463" s="2">
        <f>IFERROR(__xludf.DUMMYFUNCTION("""COMPUTED_VALUE"""),407.5)</f>
        <v>407.5</v>
      </c>
      <c r="E463" s="2">
        <f>IFERROR(__xludf.DUMMYFUNCTION("""COMPUTED_VALUE"""),410.37)</f>
        <v>410.37</v>
      </c>
      <c r="F463" s="2">
        <f>IFERROR(__xludf.DUMMYFUNCTION("""COMPUTED_VALUE"""),2.4230442E7)</f>
        <v>24230442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IFERROR(__xludf.DUMMYFUNCTION("""COMPUTED_VALUE"""),409.8)</f>
        <v>409.8</v>
      </c>
      <c r="C464" s="2">
        <f>IFERROR(__xludf.DUMMYFUNCTION("""COMPUTED_VALUE"""),410.42)</f>
        <v>410.42</v>
      </c>
      <c r="D464" s="2">
        <f>IFERROR(__xludf.DUMMYFUNCTION("""COMPUTED_VALUE"""),405.57)</f>
        <v>405.57</v>
      </c>
      <c r="E464" s="2">
        <f>IFERROR(__xludf.DUMMYFUNCTION("""COMPUTED_VALUE"""),408.46)</f>
        <v>408.46</v>
      </c>
      <c r="F464" s="2">
        <f>IFERROR(__xludf.DUMMYFUNCTION("""COMPUTED_VALUE"""),1.9672286E7)</f>
        <v>19672286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IFERROR(__xludf.DUMMYFUNCTION("""COMPUTED_VALUE"""),408.37)</f>
        <v>408.37</v>
      </c>
      <c r="C465" s="2">
        <f>IFERROR(__xludf.DUMMYFUNCTION("""COMPUTED_VALUE"""),414.9)</f>
        <v>414.9</v>
      </c>
      <c r="D465" s="2">
        <f>IFERROR(__xludf.DUMMYFUNCTION("""COMPUTED_VALUE"""),408.08)</f>
        <v>408.08</v>
      </c>
      <c r="E465" s="2">
        <f>IFERROR(__xludf.DUMMYFUNCTION("""COMPUTED_VALUE"""),411.46)</f>
        <v>411.46</v>
      </c>
      <c r="F465" s="2">
        <f>IFERROR(__xludf.DUMMYFUNCTION("""COMPUTED_VALUE"""),1.7626011E7)</f>
        <v>17626011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IFERROR(__xludf.DUMMYFUNCTION("""COMPUTED_VALUE"""),412.42)</f>
        <v>412.42</v>
      </c>
      <c r="C466" s="2">
        <f>IFERROR(__xludf.DUMMYFUNCTION("""COMPUTED_VALUE"""),420.45)</f>
        <v>420.45</v>
      </c>
      <c r="D466" s="2">
        <f>IFERROR(__xludf.DUMMYFUNCTION("""COMPUTED_VALUE"""),410.52)</f>
        <v>410.52</v>
      </c>
      <c r="E466" s="2">
        <f>IFERROR(__xludf.DUMMYFUNCTION("""COMPUTED_VALUE"""),420.18)</f>
        <v>420.18</v>
      </c>
      <c r="F466" s="2">
        <f>IFERROR(__xludf.DUMMYFUNCTION("""COMPUTED_VALUE"""),2.6681842E7)</f>
        <v>26681842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IFERROR(__xludf.DUMMYFUNCTION("""COMPUTED_VALUE"""),421.28)</f>
        <v>421.28</v>
      </c>
      <c r="C467" s="2">
        <f>IFERROR(__xludf.DUMMYFUNCTION("""COMPUTED_VALUE"""),426.85)</f>
        <v>426.85</v>
      </c>
      <c r="D467" s="2">
        <f>IFERROR(__xludf.DUMMYFUNCTION("""COMPUTED_VALUE"""),419.88)</f>
        <v>419.88</v>
      </c>
      <c r="E467" s="2">
        <f>IFERROR(__xludf.DUMMYFUNCTION("""COMPUTED_VALUE"""),425.43)</f>
        <v>425.43</v>
      </c>
      <c r="F467" s="2">
        <f>IFERROR(__xludf.DUMMYFUNCTION("""COMPUTED_VALUE"""),1.9901782E7)</f>
        <v>19901782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IFERROR(__xludf.DUMMYFUNCTION("""COMPUTED_VALUE"""),425.32)</f>
        <v>425.32</v>
      </c>
      <c r="C468" s="2">
        <f>IFERROR(__xludf.DUMMYFUNCTION("""COMPUTED_VALUE"""),426.5)</f>
        <v>426.5</v>
      </c>
      <c r="D468" s="2">
        <f>IFERROR(__xludf.DUMMYFUNCTION("""COMPUTED_VALUE"""),421.78)</f>
        <v>421.78</v>
      </c>
      <c r="E468" s="2">
        <f>IFERROR(__xludf.DUMMYFUNCTION("""COMPUTED_VALUE"""),422.54)</f>
        <v>422.54</v>
      </c>
      <c r="F468" s="2">
        <f>IFERROR(__xludf.DUMMYFUNCTION("""COMPUTED_VALUE"""),1.6891414E7)</f>
        <v>16891414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IFERROR(__xludf.DUMMYFUNCTION("""COMPUTED_VALUE"""),422.52)</f>
        <v>422.52</v>
      </c>
      <c r="C469" s="2">
        <f>IFERROR(__xludf.DUMMYFUNCTION("""COMPUTED_VALUE"""),424.81)</f>
        <v>424.81</v>
      </c>
      <c r="D469" s="2">
        <f>IFERROR(__xludf.DUMMYFUNCTION("""COMPUTED_VALUE"""),416.0)</f>
        <v>416</v>
      </c>
      <c r="E469" s="2">
        <f>IFERROR(__xludf.DUMMYFUNCTION("""COMPUTED_VALUE"""),418.01)</f>
        <v>418.01</v>
      </c>
      <c r="F469" s="2">
        <f>IFERROR(__xludf.DUMMYFUNCTION("""COMPUTED_VALUE"""),2.4503321E7)</f>
        <v>24503321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IFERROR(__xludf.DUMMYFUNCTION("""COMPUTED_VALUE"""),418.25)</f>
        <v>418.25</v>
      </c>
      <c r="C470" s="2">
        <f>IFERROR(__xludf.DUMMYFUNCTION("""COMPUTED_VALUE"""),424.44)</f>
        <v>424.44</v>
      </c>
      <c r="D470" s="2">
        <f>IFERROR(__xludf.DUMMYFUNCTION("""COMPUTED_VALUE"""),417.2)</f>
        <v>417.2</v>
      </c>
      <c r="E470" s="2">
        <f>IFERROR(__xludf.DUMMYFUNCTION("""COMPUTED_VALUE"""),423.03)</f>
        <v>423.03</v>
      </c>
      <c r="F470" s="2">
        <f>IFERROR(__xludf.DUMMYFUNCTION("""COMPUTED_VALUE"""),1.9401204E7)</f>
        <v>19401204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IFERROR(__xludf.DUMMYFUNCTION("""COMPUTED_VALUE"""),421.64)</f>
        <v>421.64</v>
      </c>
      <c r="C471" s="2">
        <f>IFERROR(__xludf.DUMMYFUNCTION("""COMPUTED_VALUE"""),429.33)</f>
        <v>429.33</v>
      </c>
      <c r="D471" s="2">
        <f>IFERROR(__xludf.DUMMYFUNCTION("""COMPUTED_VALUE"""),418.21)</f>
        <v>418.21</v>
      </c>
      <c r="E471" s="2">
        <f>IFERROR(__xludf.DUMMYFUNCTION("""COMPUTED_VALUE"""),425.2)</f>
        <v>425.2</v>
      </c>
      <c r="F471" s="2">
        <f>IFERROR(__xludf.DUMMYFUNCTION("""COMPUTED_VALUE"""),2.1502185E7)</f>
        <v>21502185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IFERROR(__xludf.DUMMYFUNCTION("""COMPUTED_VALUE"""),425.0)</f>
        <v>425</v>
      </c>
      <c r="C472" s="2">
        <f>IFERROR(__xludf.DUMMYFUNCTION("""COMPUTED_VALUE"""),428.17)</f>
        <v>428.17</v>
      </c>
      <c r="D472" s="2">
        <f>IFERROR(__xludf.DUMMYFUNCTION("""COMPUTED_VALUE"""),420.0)</f>
        <v>420</v>
      </c>
      <c r="E472" s="2">
        <f>IFERROR(__xludf.DUMMYFUNCTION("""COMPUTED_VALUE"""),426.89)</f>
        <v>426.89</v>
      </c>
      <c r="F472" s="2">
        <f>IFERROR(__xludf.DUMMYFUNCTION("""COMPUTED_VALUE"""),3.0246881E7)</f>
        <v>30246881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IFERROR(__xludf.DUMMYFUNCTION("""COMPUTED_VALUE"""),419.82)</f>
        <v>419.82</v>
      </c>
      <c r="C473" s="2">
        <f>IFERROR(__xludf.DUMMYFUNCTION("""COMPUTED_VALUE"""),422.8)</f>
        <v>422.8</v>
      </c>
      <c r="D473" s="2">
        <f>IFERROR(__xludf.DUMMYFUNCTION("""COMPUTED_VALUE"""),413.64)</f>
        <v>413.64</v>
      </c>
      <c r="E473" s="2">
        <f>IFERROR(__xludf.DUMMYFUNCTION("""COMPUTED_VALUE"""),415.0)</f>
        <v>415</v>
      </c>
      <c r="F473" s="2">
        <f>IFERROR(__xludf.DUMMYFUNCTION("""COMPUTED_VALUE"""),2.8247644E7)</f>
        <v>28247644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IFERROR(__xludf.DUMMYFUNCTION("""COMPUTED_VALUE"""),414.87)</f>
        <v>414.87</v>
      </c>
      <c r="C474" s="2">
        <f>IFERROR(__xludf.DUMMYFUNCTION("""COMPUTED_VALUE"""),418.4)</f>
        <v>418.4</v>
      </c>
      <c r="D474" s="2">
        <f>IFERROR(__xludf.DUMMYFUNCTION("""COMPUTED_VALUE"""),412.1)</f>
        <v>412.1</v>
      </c>
      <c r="E474" s="2">
        <f>IFERROR(__xludf.DUMMYFUNCTION("""COMPUTED_VALUE"""),415.76)</f>
        <v>415.76</v>
      </c>
      <c r="F474" s="2">
        <f>IFERROR(__xludf.DUMMYFUNCTION("""COMPUTED_VALUE"""),2.4742013E7)</f>
        <v>24742013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IFERROR(__xludf.DUMMYFUNCTION("""COMPUTED_VALUE"""),413.11)</f>
        <v>413.11</v>
      </c>
      <c r="C475" s="2">
        <f>IFERROR(__xludf.DUMMYFUNCTION("""COMPUTED_VALUE"""),417.94)</f>
        <v>417.94</v>
      </c>
      <c r="D475" s="2">
        <f>IFERROR(__xludf.DUMMYFUNCTION("""COMPUTED_VALUE"""),411.55)</f>
        <v>411.55</v>
      </c>
      <c r="E475" s="2">
        <f>IFERROR(__xludf.DUMMYFUNCTION("""COMPUTED_VALUE"""),417.79)</f>
        <v>417.79</v>
      </c>
      <c r="F475" s="2">
        <f>IFERROR(__xludf.DUMMYFUNCTION("""COMPUTED_VALUE"""),1.8133529E7)</f>
        <v>18133529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IFERROR(__xludf.DUMMYFUNCTION("""COMPUTED_VALUE"""),416.87)</f>
        <v>416.87</v>
      </c>
      <c r="C476" s="2">
        <f>IFERROR(__xludf.DUMMYFUNCTION("""COMPUTED_VALUE"""),417.29)</f>
        <v>417.29</v>
      </c>
      <c r="D476" s="2">
        <f>IFERROR(__xludf.DUMMYFUNCTION("""COMPUTED_VALUE"""),410.58)</f>
        <v>410.58</v>
      </c>
      <c r="E476" s="2">
        <f>IFERROR(__xludf.DUMMYFUNCTION("""COMPUTED_VALUE"""),415.49)</f>
        <v>415.49</v>
      </c>
      <c r="F476" s="2">
        <f>IFERROR(__xludf.DUMMYFUNCTION("""COMPUTED_VALUE"""),1.9191655E7)</f>
        <v>19191655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IFERROR(__xludf.DUMMYFUNCTION("""COMPUTED_VALUE"""),419.5)</f>
        <v>419.5</v>
      </c>
      <c r="C477" s="2">
        <f>IFERROR(__xludf.DUMMYFUNCTION("""COMPUTED_VALUE"""),419.78)</f>
        <v>419.78</v>
      </c>
      <c r="D477" s="2">
        <f>IFERROR(__xludf.DUMMYFUNCTION("""COMPUTED_VALUE"""),410.29)</f>
        <v>410.29</v>
      </c>
      <c r="E477" s="2">
        <f>IFERROR(__xludf.DUMMYFUNCTION("""COMPUTED_VALUE"""),412.87)</f>
        <v>412.87</v>
      </c>
      <c r="F477" s="2">
        <f>IFERROR(__xludf.DUMMYFUNCTION("""COMPUTED_VALUE"""),2.0780162E7)</f>
        <v>20780162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IFERROR(__xludf.DUMMYFUNCTION("""COMPUTED_VALUE"""),411.37)</f>
        <v>411.37</v>
      </c>
      <c r="C478" s="2">
        <f>IFERROR(__xludf.DUMMYFUNCTION("""COMPUTED_VALUE"""),417.4)</f>
        <v>417.4</v>
      </c>
      <c r="D478" s="2">
        <f>IFERROR(__xludf.DUMMYFUNCTION("""COMPUTED_VALUE"""),411.06)</f>
        <v>411.06</v>
      </c>
      <c r="E478" s="2">
        <f>IFERROR(__xludf.DUMMYFUNCTION("""COMPUTED_VALUE"""),417.0)</f>
        <v>417</v>
      </c>
      <c r="F478" s="2">
        <f>IFERROR(__xludf.DUMMYFUNCTION("""COMPUTED_VALUE"""),2.4814626E7)</f>
        <v>24814626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IFERROR(__xludf.DUMMYFUNCTION("""COMPUTED_VALUE"""),418.38)</f>
        <v>418.38</v>
      </c>
      <c r="C479" s="2">
        <f>IFERROR(__xludf.DUMMYFUNCTION("""COMPUTED_VALUE"""),421.08)</f>
        <v>421.08</v>
      </c>
      <c r="D479" s="2">
        <f>IFERROR(__xludf.DUMMYFUNCTION("""COMPUTED_VALUE"""),414.85)</f>
        <v>414.85</v>
      </c>
      <c r="E479" s="2">
        <f>IFERROR(__xludf.DUMMYFUNCTION("""COMPUTED_VALUE"""),418.79)</f>
        <v>418.79</v>
      </c>
      <c r="F479" s="2">
        <f>IFERROR(__xludf.DUMMYFUNCTION("""COMPUTED_VALUE"""),2.769109E7)</f>
        <v>27691090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IFERROR(__xludf.DUMMYFUNCTION("""COMPUTED_VALUE"""),419.59)</f>
        <v>419.59</v>
      </c>
      <c r="C480" s="2">
        <f>IFERROR(__xludf.DUMMYFUNCTION("""COMPUTED_VALUE"""),429.04)</f>
        <v>429.04</v>
      </c>
      <c r="D480" s="2">
        <f>IFERROR(__xludf.DUMMYFUNCTION("""COMPUTED_VALUE"""),418.85)</f>
        <v>418.85</v>
      </c>
      <c r="E480" s="2">
        <f>IFERROR(__xludf.DUMMYFUNCTION("""COMPUTED_VALUE"""),427.99)</f>
        <v>427.99</v>
      </c>
      <c r="F480" s="2">
        <f>IFERROR(__xludf.DUMMYFUNCTION("""COMPUTED_VALUE"""),2.3458889E7)</f>
        <v>23458889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IFERROR(__xludf.DUMMYFUNCTION("""COMPUTED_VALUE"""),425.11)</f>
        <v>425.11</v>
      </c>
      <c r="C481" s="2">
        <f>IFERROR(__xludf.DUMMYFUNCTION("""COMPUTED_VALUE"""),427.23)</f>
        <v>427.23</v>
      </c>
      <c r="D481" s="2">
        <f>IFERROR(__xludf.DUMMYFUNCTION("""COMPUTED_VALUE"""),422.02)</f>
        <v>422.02</v>
      </c>
      <c r="E481" s="2">
        <f>IFERROR(__xludf.DUMMYFUNCTION("""COMPUTED_VALUE"""),422.99)</f>
        <v>422.99</v>
      </c>
      <c r="F481" s="2">
        <f>IFERROR(__xludf.DUMMYFUNCTION("""COMPUTED_VALUE"""),1.8332444E7)</f>
        <v>18332444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IFERROR(__xludf.DUMMYFUNCTION("""COMPUTED_VALUE"""),420.09)</f>
        <v>420.09</v>
      </c>
      <c r="C482" s="2">
        <f>IFERROR(__xludf.DUMMYFUNCTION("""COMPUTED_VALUE"""),424.88)</f>
        <v>424.88</v>
      </c>
      <c r="D482" s="2">
        <f>IFERROR(__xludf.DUMMYFUNCTION("""COMPUTED_VALUE"""),417.8)</f>
        <v>417.8</v>
      </c>
      <c r="E482" s="2">
        <f>IFERROR(__xludf.DUMMYFUNCTION("""COMPUTED_VALUE"""),423.46)</f>
        <v>423.46</v>
      </c>
      <c r="F482" s="2">
        <f>IFERROR(__xludf.DUMMYFUNCTION("""COMPUTED_VALUE"""),1.6271921E7)</f>
        <v>16271921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IFERROR(__xludf.DUMMYFUNCTION("""COMPUTED_VALUE"""),421.57)</f>
        <v>421.57</v>
      </c>
      <c r="C483" s="2">
        <f>IFERROR(__xludf.DUMMYFUNCTION("""COMPUTED_VALUE"""),433.0)</f>
        <v>433</v>
      </c>
      <c r="D483" s="2">
        <f>IFERROR(__xludf.DUMMYFUNCTION("""COMPUTED_VALUE"""),421.31)</f>
        <v>421.31</v>
      </c>
      <c r="E483" s="2">
        <f>IFERROR(__xludf.DUMMYFUNCTION("""COMPUTED_VALUE"""),430.98)</f>
        <v>430.98</v>
      </c>
      <c r="F483" s="2">
        <f>IFERROR(__xludf.DUMMYFUNCTION("""COMPUTED_VALUE"""),2.0207223E7)</f>
        <v>20207223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IFERROR(__xludf.DUMMYFUNCTION("""COMPUTED_VALUE"""),429.84)</f>
        <v>429.84</v>
      </c>
      <c r="C484" s="2">
        <f>IFERROR(__xludf.DUMMYFUNCTION("""COMPUTED_VALUE"""),432.47)</f>
        <v>432.47</v>
      </c>
      <c r="D484" s="2">
        <f>IFERROR(__xludf.DUMMYFUNCTION("""COMPUTED_VALUE"""),427.74)</f>
        <v>427.74</v>
      </c>
      <c r="E484" s="2">
        <f>IFERROR(__xludf.DUMMYFUNCTION("""COMPUTED_VALUE"""),431.2)</f>
        <v>431.2</v>
      </c>
      <c r="F484" s="2">
        <f>IFERROR(__xludf.DUMMYFUNCTION("""COMPUTED_VALUE"""),1.8301987E7)</f>
        <v>18301987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IFERROR(__xludf.DUMMYFUNCTION("""COMPUTED_VALUE"""),433.03)</f>
        <v>433.03</v>
      </c>
      <c r="C485" s="2">
        <f>IFERROR(__xludf.DUMMYFUNCTION("""COMPUTED_VALUE"""),439.67)</f>
        <v>439.67</v>
      </c>
      <c r="D485" s="2">
        <f>IFERROR(__xludf.DUMMYFUNCTION("""COMPUTED_VALUE"""),432.63)</f>
        <v>432.63</v>
      </c>
      <c r="E485" s="2">
        <f>IFERROR(__xludf.DUMMYFUNCTION("""COMPUTED_VALUE"""),437.42)</f>
        <v>437.42</v>
      </c>
      <c r="F485" s="2">
        <f>IFERROR(__xludf.DUMMYFUNCTION("""COMPUTED_VALUE"""),2.6009429E7)</f>
        <v>26009429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IFERROR(__xludf.DUMMYFUNCTION("""COMPUTED_VALUE"""),437.92)</f>
        <v>437.92</v>
      </c>
      <c r="C486" s="2">
        <f>IFERROR(__xludf.DUMMYFUNCTION("""COMPUTED_VALUE"""),444.66)</f>
        <v>444.66</v>
      </c>
      <c r="D486" s="2">
        <f>IFERROR(__xludf.DUMMYFUNCTION("""COMPUTED_VALUE"""),436.17)</f>
        <v>436.17</v>
      </c>
      <c r="E486" s="2">
        <f>IFERROR(__xludf.DUMMYFUNCTION("""COMPUTED_VALUE"""),442.62)</f>
        <v>442.62</v>
      </c>
      <c r="F486" s="2">
        <f>IFERROR(__xludf.DUMMYFUNCTION("""COMPUTED_VALUE"""),2.1697775E7)</f>
        <v>21697775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IFERROR(__xludf.DUMMYFUNCTION("""COMPUTED_VALUE"""),442.3)</f>
        <v>442.3</v>
      </c>
      <c r="C487" s="2">
        <f>IFERROR(__xludf.DUMMYFUNCTION("""COMPUTED_VALUE"""),446.1)</f>
        <v>446.1</v>
      </c>
      <c r="D487" s="2">
        <f>IFERROR(__xludf.DUMMYFUNCTION("""COMPUTED_VALUE"""),441.77)</f>
        <v>441.77</v>
      </c>
      <c r="E487" s="2">
        <f>IFERROR(__xludf.DUMMYFUNCTION("""COMPUTED_VALUE"""),443.57)</f>
        <v>443.57</v>
      </c>
      <c r="F487" s="2">
        <f>IFERROR(__xludf.DUMMYFUNCTION("""COMPUTED_VALUE"""),1.8821002E7)</f>
        <v>18821002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IFERROR(__xludf.DUMMYFUNCTION("""COMPUTED_VALUE"""),442.6)</f>
        <v>442.6</v>
      </c>
      <c r="C488" s="2">
        <f>IFERROR(__xludf.DUMMYFUNCTION("""COMPUTED_VALUE"""),448.33)</f>
        <v>448.33</v>
      </c>
      <c r="D488" s="2">
        <f>IFERROR(__xludf.DUMMYFUNCTION("""COMPUTED_VALUE"""),440.5)</f>
        <v>440.5</v>
      </c>
      <c r="E488" s="2">
        <f>IFERROR(__xludf.DUMMYFUNCTION("""COMPUTED_VALUE"""),446.02)</f>
        <v>446.02</v>
      </c>
      <c r="F488" s="2">
        <f>IFERROR(__xludf.DUMMYFUNCTION("""COMPUTED_VALUE"""),1.9144388E7)</f>
        <v>19144388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IFERROR(__xludf.DUMMYFUNCTION("""COMPUTED_VALUE"""),444.39)</f>
        <v>444.39</v>
      </c>
      <c r="C489" s="2">
        <f>IFERROR(__xludf.DUMMYFUNCTION("""COMPUTED_VALUE"""),449.62)</f>
        <v>449.62</v>
      </c>
      <c r="D489" s="2">
        <f>IFERROR(__xludf.DUMMYFUNCTION("""COMPUTED_VALUE"""),441.6)</f>
        <v>441.6</v>
      </c>
      <c r="E489" s="2">
        <f>IFERROR(__xludf.DUMMYFUNCTION("""COMPUTED_VALUE"""),443.33)</f>
        <v>443.33</v>
      </c>
      <c r="F489" s="2">
        <f>IFERROR(__xludf.DUMMYFUNCTION("""COMPUTED_VALUE"""),1.8469459E7)</f>
        <v>18469459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IFERROR(__xludf.DUMMYFUNCTION("""COMPUTED_VALUE"""),444.05)</f>
        <v>444.05</v>
      </c>
      <c r="C490" s="2">
        <f>IFERROR(__xludf.DUMMYFUNCTION("""COMPUTED_VALUE"""),450.35)</f>
        <v>450.35</v>
      </c>
      <c r="D490" s="2">
        <f>IFERROR(__xludf.DUMMYFUNCTION("""COMPUTED_VALUE"""),444.05)</f>
        <v>444.05</v>
      </c>
      <c r="E490" s="2">
        <f>IFERROR(__xludf.DUMMYFUNCTION("""COMPUTED_VALUE"""),448.99)</f>
        <v>448.99</v>
      </c>
      <c r="F490" s="2">
        <f>IFERROR(__xludf.DUMMYFUNCTION("""COMPUTED_VALUE"""),1.9200208E7)</f>
        <v>19200208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IFERROR(__xludf.DUMMYFUNCTION("""COMPUTED_VALUE"""),449.11)</f>
        <v>449.11</v>
      </c>
      <c r="C491" s="2">
        <f>IFERROR(__xludf.DUMMYFUNCTION("""COMPUTED_VALUE"""),456.16)</f>
        <v>456.16</v>
      </c>
      <c r="D491" s="2">
        <f>IFERROR(__xludf.DUMMYFUNCTION("""COMPUTED_VALUE"""),449.11)</f>
        <v>449.11</v>
      </c>
      <c r="E491" s="2">
        <f>IFERROR(__xludf.DUMMYFUNCTION("""COMPUTED_VALUE"""),449.56)</f>
        <v>449.56</v>
      </c>
      <c r="F491" s="2">
        <f>IFERROR(__xludf.DUMMYFUNCTION("""COMPUTED_VALUE"""),2.0834779E7)</f>
        <v>20834779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IFERROR(__xludf.DUMMYFUNCTION("""COMPUTED_VALUE"""),448.44)</f>
        <v>448.44</v>
      </c>
      <c r="C492" s="2">
        <f>IFERROR(__xludf.DUMMYFUNCTION("""COMPUTED_VALUE"""),451.43)</f>
        <v>451.43</v>
      </c>
      <c r="D492" s="2">
        <f>IFERROR(__xludf.DUMMYFUNCTION("""COMPUTED_VALUE"""),445.58)</f>
        <v>445.58</v>
      </c>
      <c r="E492" s="2">
        <f>IFERROR(__xludf.DUMMYFUNCTION("""COMPUTED_VALUE"""),447.27)</f>
        <v>447.27</v>
      </c>
      <c r="F492" s="2">
        <f>IFERROR(__xludf.DUMMYFUNCTION("""COMPUTED_VALUE"""),2.0177833E7)</f>
        <v>20177833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IFERROR(__xludf.DUMMYFUNCTION("""COMPUTED_VALUE"""),447.27)</f>
        <v>447.27</v>
      </c>
      <c r="C493" s="2">
        <f>IFERROR(__xludf.DUMMYFUNCTION("""COMPUTED_VALUE"""),452.18)</f>
        <v>452.18</v>
      </c>
      <c r="D493" s="2">
        <f>IFERROR(__xludf.DUMMYFUNCTION("""COMPUTED_VALUE"""),445.28)</f>
        <v>445.28</v>
      </c>
      <c r="E493" s="2">
        <f>IFERROR(__xludf.DUMMYFUNCTION("""COMPUTED_VALUE"""),451.59)</f>
        <v>451.59</v>
      </c>
      <c r="F493" s="2">
        <f>IFERROR(__xludf.DUMMYFUNCTION("""COMPUTED_VALUE"""),2.3598834E7)</f>
        <v>23598834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IFERROR(__xludf.DUMMYFUNCTION("""COMPUTED_VALUE"""),451.01)</f>
        <v>451.01</v>
      </c>
      <c r="C494" s="2">
        <f>IFERROR(__xludf.DUMMYFUNCTION("""COMPUTED_VALUE"""),455.29)</f>
        <v>455.29</v>
      </c>
      <c r="D494" s="2">
        <f>IFERROR(__xludf.DUMMYFUNCTION("""COMPUTED_VALUE"""),449.57)</f>
        <v>449.57</v>
      </c>
      <c r="E494" s="2">
        <f>IFERROR(__xludf.DUMMYFUNCTION("""COMPUTED_VALUE"""),454.46)</f>
        <v>454.46</v>
      </c>
      <c r="F494" s="2">
        <f>IFERROR(__xludf.DUMMYFUNCTION("""COMPUTED_VALUE"""),2.2733494E7)</f>
        <v>22733494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IFERROR(__xludf.DUMMYFUNCTION("GOOGLEFINANCE(""GOOG"",""all"",DATE(2023,1,1), 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IFERROR(__xludf.DUMMYFUNCTION("""COMPUTED_VALUE"""),44929.66666666667)</f>
        <v>44929.66667</v>
      </c>
      <c r="B2" s="2">
        <f>IFERROR(__xludf.DUMMYFUNCTION("""COMPUTED_VALUE"""),89.83)</f>
        <v>89.83</v>
      </c>
      <c r="C2" s="2">
        <f>IFERROR(__xludf.DUMMYFUNCTION("""COMPUTED_VALUE"""),91.55)</f>
        <v>91.55</v>
      </c>
      <c r="D2" s="2">
        <f>IFERROR(__xludf.DUMMYFUNCTION("""COMPUTED_VALUE"""),89.02)</f>
        <v>89.02</v>
      </c>
      <c r="E2" s="2">
        <f>IFERROR(__xludf.DUMMYFUNCTION("""COMPUTED_VALUE"""),89.7)</f>
        <v>89.7</v>
      </c>
      <c r="F2" s="2">
        <f>IFERROR(__xludf.DUMMYFUNCTION("""COMPUTED_VALUE"""),2.0738457E7)</f>
        <v>20738457</v>
      </c>
    </row>
    <row r="3">
      <c r="A3" s="3">
        <f>IFERROR(__xludf.DUMMYFUNCTION("""COMPUTED_VALUE"""),44930.66666666667)</f>
        <v>44930.66667</v>
      </c>
      <c r="B3" s="2">
        <f>IFERROR(__xludf.DUMMYFUNCTION("""COMPUTED_VALUE"""),91.01)</f>
        <v>91.01</v>
      </c>
      <c r="C3" s="2">
        <f>IFERROR(__xludf.DUMMYFUNCTION("""COMPUTED_VALUE"""),91.24)</f>
        <v>91.24</v>
      </c>
      <c r="D3" s="2">
        <f>IFERROR(__xludf.DUMMYFUNCTION("""COMPUTED_VALUE"""),87.8)</f>
        <v>87.8</v>
      </c>
      <c r="E3" s="2">
        <f>IFERROR(__xludf.DUMMYFUNCTION("""COMPUTED_VALUE"""),88.71)</f>
        <v>88.71</v>
      </c>
      <c r="F3" s="2">
        <f>IFERROR(__xludf.DUMMYFUNCTION("""COMPUTED_VALUE"""),2.7046483E7)</f>
        <v>27046483</v>
      </c>
    </row>
    <row r="4">
      <c r="A4" s="3">
        <f>IFERROR(__xludf.DUMMYFUNCTION("""COMPUTED_VALUE"""),44931.66666666667)</f>
        <v>44931.66667</v>
      </c>
      <c r="B4" s="2">
        <f>IFERROR(__xludf.DUMMYFUNCTION("""COMPUTED_VALUE"""),88.07)</f>
        <v>88.07</v>
      </c>
      <c r="C4" s="2">
        <f>IFERROR(__xludf.DUMMYFUNCTION("""COMPUTED_VALUE"""),88.21)</f>
        <v>88.21</v>
      </c>
      <c r="D4" s="2">
        <f>IFERROR(__xludf.DUMMYFUNCTION("""COMPUTED_VALUE"""),86.56)</f>
        <v>86.56</v>
      </c>
      <c r="E4" s="2">
        <f>IFERROR(__xludf.DUMMYFUNCTION("""COMPUTED_VALUE"""),86.77)</f>
        <v>86.77</v>
      </c>
      <c r="F4" s="2">
        <f>IFERROR(__xludf.DUMMYFUNCTION("""COMPUTED_VALUE"""),2.3136084E7)</f>
        <v>23136084</v>
      </c>
    </row>
    <row r="5">
      <c r="A5" s="3">
        <f>IFERROR(__xludf.DUMMYFUNCTION("""COMPUTED_VALUE"""),44932.66666666667)</f>
        <v>44932.66667</v>
      </c>
      <c r="B5" s="2">
        <f>IFERROR(__xludf.DUMMYFUNCTION("""COMPUTED_VALUE"""),87.36)</f>
        <v>87.36</v>
      </c>
      <c r="C5" s="2">
        <f>IFERROR(__xludf.DUMMYFUNCTION("""COMPUTED_VALUE"""),88.47)</f>
        <v>88.47</v>
      </c>
      <c r="D5" s="2">
        <f>IFERROR(__xludf.DUMMYFUNCTION("""COMPUTED_VALUE"""),85.57)</f>
        <v>85.57</v>
      </c>
      <c r="E5" s="2">
        <f>IFERROR(__xludf.DUMMYFUNCTION("""COMPUTED_VALUE"""),88.16)</f>
        <v>88.16</v>
      </c>
      <c r="F5" s="2">
        <f>IFERROR(__xludf.DUMMYFUNCTION("""COMPUTED_VALUE"""),2.6612628E7)</f>
        <v>26612628</v>
      </c>
    </row>
    <row r="6">
      <c r="A6" s="3">
        <f>IFERROR(__xludf.DUMMYFUNCTION("""COMPUTED_VALUE"""),44935.66666666667)</f>
        <v>44935.66667</v>
      </c>
      <c r="B6" s="2">
        <f>IFERROR(__xludf.DUMMYFUNCTION("""COMPUTED_VALUE"""),89.2)</f>
        <v>89.2</v>
      </c>
      <c r="C6" s="2">
        <f>IFERROR(__xludf.DUMMYFUNCTION("""COMPUTED_VALUE"""),90.83)</f>
        <v>90.83</v>
      </c>
      <c r="D6" s="2">
        <f>IFERROR(__xludf.DUMMYFUNCTION("""COMPUTED_VALUE"""),88.58)</f>
        <v>88.58</v>
      </c>
      <c r="E6" s="2">
        <f>IFERROR(__xludf.DUMMYFUNCTION("""COMPUTED_VALUE"""),88.8)</f>
        <v>88.8</v>
      </c>
      <c r="F6" s="2">
        <f>IFERROR(__xludf.DUMMYFUNCTION("""COMPUTED_VALUE"""),2.2996681E7)</f>
        <v>22996681</v>
      </c>
    </row>
    <row r="7">
      <c r="A7" s="3">
        <f>IFERROR(__xludf.DUMMYFUNCTION("""COMPUTED_VALUE"""),44936.66666666667)</f>
        <v>44936.66667</v>
      </c>
      <c r="B7" s="2">
        <f>IFERROR(__xludf.DUMMYFUNCTION("""COMPUTED_VALUE"""),86.72)</f>
        <v>86.72</v>
      </c>
      <c r="C7" s="2">
        <f>IFERROR(__xludf.DUMMYFUNCTION("""COMPUTED_VALUE"""),89.48)</f>
        <v>89.48</v>
      </c>
      <c r="D7" s="2">
        <f>IFERROR(__xludf.DUMMYFUNCTION("""COMPUTED_VALUE"""),86.7)</f>
        <v>86.7</v>
      </c>
      <c r="E7" s="2">
        <f>IFERROR(__xludf.DUMMYFUNCTION("""COMPUTED_VALUE"""),89.24)</f>
        <v>89.24</v>
      </c>
      <c r="F7" s="2">
        <f>IFERROR(__xludf.DUMMYFUNCTION("""COMPUTED_VALUE"""),2.285559E7)</f>
        <v>22855590</v>
      </c>
    </row>
    <row r="8">
      <c r="A8" s="3">
        <f>IFERROR(__xludf.DUMMYFUNCTION("""COMPUTED_VALUE"""),44937.66666666667)</f>
        <v>44937.66667</v>
      </c>
      <c r="B8" s="2">
        <f>IFERROR(__xludf.DUMMYFUNCTION("""COMPUTED_VALUE"""),90.06)</f>
        <v>90.06</v>
      </c>
      <c r="C8" s="2">
        <f>IFERROR(__xludf.DUMMYFUNCTION("""COMPUTED_VALUE"""),92.45)</f>
        <v>92.45</v>
      </c>
      <c r="D8" s="2">
        <f>IFERROR(__xludf.DUMMYFUNCTION("""COMPUTED_VALUE"""),89.74)</f>
        <v>89.74</v>
      </c>
      <c r="E8" s="2">
        <f>IFERROR(__xludf.DUMMYFUNCTION("""COMPUTED_VALUE"""),92.26)</f>
        <v>92.26</v>
      </c>
      <c r="F8" s="2">
        <f>IFERROR(__xludf.DUMMYFUNCTION("""COMPUTED_VALUE"""),2.5998844E7)</f>
        <v>25998844</v>
      </c>
    </row>
    <row r="9">
      <c r="A9" s="3">
        <f>IFERROR(__xludf.DUMMYFUNCTION("""COMPUTED_VALUE"""),44938.66666666667)</f>
        <v>44938.66667</v>
      </c>
      <c r="B9" s="2">
        <f>IFERROR(__xludf.DUMMYFUNCTION("""COMPUTED_VALUE"""),92.4)</f>
        <v>92.4</v>
      </c>
      <c r="C9" s="2">
        <f>IFERROR(__xludf.DUMMYFUNCTION("""COMPUTED_VALUE"""),92.62)</f>
        <v>92.62</v>
      </c>
      <c r="D9" s="2">
        <f>IFERROR(__xludf.DUMMYFUNCTION("""COMPUTED_VALUE"""),90.57)</f>
        <v>90.57</v>
      </c>
      <c r="E9" s="2">
        <f>IFERROR(__xludf.DUMMYFUNCTION("""COMPUTED_VALUE"""),91.91)</f>
        <v>91.91</v>
      </c>
      <c r="F9" s="2">
        <f>IFERROR(__xludf.DUMMYFUNCTION("""COMPUTED_VALUE"""),2.2754216E7)</f>
        <v>22754216</v>
      </c>
    </row>
    <row r="10">
      <c r="A10" s="3">
        <f>IFERROR(__xludf.DUMMYFUNCTION("""COMPUTED_VALUE"""),44939.66666666667)</f>
        <v>44939.66667</v>
      </c>
      <c r="B10" s="2">
        <f>IFERROR(__xludf.DUMMYFUNCTION("""COMPUTED_VALUE"""),91.53)</f>
        <v>91.53</v>
      </c>
      <c r="C10" s="2">
        <f>IFERROR(__xludf.DUMMYFUNCTION("""COMPUTED_VALUE"""),92.98)</f>
        <v>92.98</v>
      </c>
      <c r="D10" s="2">
        <f>IFERROR(__xludf.DUMMYFUNCTION("""COMPUTED_VALUE"""),90.93)</f>
        <v>90.93</v>
      </c>
      <c r="E10" s="2">
        <f>IFERROR(__xludf.DUMMYFUNCTION("""COMPUTED_VALUE"""),92.8)</f>
        <v>92.8</v>
      </c>
      <c r="F10" s="2">
        <f>IFERROR(__xludf.DUMMYFUNCTION("""COMPUTED_VALUE"""),1.8630709E7)</f>
        <v>18630709</v>
      </c>
    </row>
    <row r="11">
      <c r="A11" s="3">
        <f>IFERROR(__xludf.DUMMYFUNCTION("""COMPUTED_VALUE"""),44943.66666666667)</f>
        <v>44943.66667</v>
      </c>
      <c r="B11" s="2">
        <f>IFERROR(__xludf.DUMMYFUNCTION("""COMPUTED_VALUE"""),92.78)</f>
        <v>92.78</v>
      </c>
      <c r="C11" s="2">
        <f>IFERROR(__xludf.DUMMYFUNCTION("""COMPUTED_VALUE"""),92.97)</f>
        <v>92.97</v>
      </c>
      <c r="D11" s="2">
        <f>IFERROR(__xludf.DUMMYFUNCTION("""COMPUTED_VALUE"""),90.84)</f>
        <v>90.84</v>
      </c>
      <c r="E11" s="2">
        <f>IFERROR(__xludf.DUMMYFUNCTION("""COMPUTED_VALUE"""),92.16)</f>
        <v>92.16</v>
      </c>
      <c r="F11" s="2">
        <f>IFERROR(__xludf.DUMMYFUNCTION("""COMPUTED_VALUE"""),2.2935823E7)</f>
        <v>22935823</v>
      </c>
    </row>
    <row r="12">
      <c r="A12" s="3">
        <f>IFERROR(__xludf.DUMMYFUNCTION("""COMPUTED_VALUE"""),44944.66666666667)</f>
        <v>44944.66667</v>
      </c>
      <c r="B12" s="2">
        <f>IFERROR(__xludf.DUMMYFUNCTION("""COMPUTED_VALUE"""),92.94)</f>
        <v>92.94</v>
      </c>
      <c r="C12" s="2">
        <f>IFERROR(__xludf.DUMMYFUNCTION("""COMPUTED_VALUE"""),93.59)</f>
        <v>93.59</v>
      </c>
      <c r="D12" s="2">
        <f>IFERROR(__xludf.DUMMYFUNCTION("""COMPUTED_VALUE"""),91.4)</f>
        <v>91.4</v>
      </c>
      <c r="E12" s="2">
        <f>IFERROR(__xludf.DUMMYFUNCTION("""COMPUTED_VALUE"""),91.78)</f>
        <v>91.78</v>
      </c>
      <c r="F12" s="2">
        <f>IFERROR(__xludf.DUMMYFUNCTION("""COMPUTED_VALUE"""),1.9641622E7)</f>
        <v>19641622</v>
      </c>
    </row>
    <row r="13">
      <c r="A13" s="3">
        <f>IFERROR(__xludf.DUMMYFUNCTION("""COMPUTED_VALUE"""),44945.66666666667)</f>
        <v>44945.66667</v>
      </c>
      <c r="B13" s="2">
        <f>IFERROR(__xludf.DUMMYFUNCTION("""COMPUTED_VALUE"""),91.39)</f>
        <v>91.39</v>
      </c>
      <c r="C13" s="2">
        <f>IFERROR(__xludf.DUMMYFUNCTION("""COMPUTED_VALUE"""),94.4)</f>
        <v>94.4</v>
      </c>
      <c r="D13" s="2">
        <f>IFERROR(__xludf.DUMMYFUNCTION("""COMPUTED_VALUE"""),91.38)</f>
        <v>91.38</v>
      </c>
      <c r="E13" s="2">
        <f>IFERROR(__xludf.DUMMYFUNCTION("""COMPUTED_VALUE"""),93.91)</f>
        <v>93.91</v>
      </c>
      <c r="F13" s="2">
        <f>IFERROR(__xludf.DUMMYFUNCTION("""COMPUTED_VALUE"""),2.8707653E7)</f>
        <v>28707653</v>
      </c>
    </row>
    <row r="14">
      <c r="A14" s="3">
        <f>IFERROR(__xludf.DUMMYFUNCTION("""COMPUTED_VALUE"""),44946.66666666667)</f>
        <v>44946.66667</v>
      </c>
      <c r="B14" s="2">
        <f>IFERROR(__xludf.DUMMYFUNCTION("""COMPUTED_VALUE"""),95.95)</f>
        <v>95.95</v>
      </c>
      <c r="C14" s="2">
        <f>IFERROR(__xludf.DUMMYFUNCTION("""COMPUTED_VALUE"""),99.42)</f>
        <v>99.42</v>
      </c>
      <c r="D14" s="2">
        <f>IFERROR(__xludf.DUMMYFUNCTION("""COMPUTED_VALUE"""),95.91)</f>
        <v>95.91</v>
      </c>
      <c r="E14" s="2">
        <f>IFERROR(__xludf.DUMMYFUNCTION("""COMPUTED_VALUE"""),99.28)</f>
        <v>99.28</v>
      </c>
      <c r="F14" s="2">
        <f>IFERROR(__xludf.DUMMYFUNCTION("""COMPUTED_VALUE"""),5.3704763E7)</f>
        <v>53704763</v>
      </c>
    </row>
    <row r="15">
      <c r="A15" s="3">
        <f>IFERROR(__xludf.DUMMYFUNCTION("""COMPUTED_VALUE"""),44949.66666666667)</f>
        <v>44949.66667</v>
      </c>
      <c r="B15" s="2">
        <f>IFERROR(__xludf.DUMMYFUNCTION("""COMPUTED_VALUE"""),99.13)</f>
        <v>99.13</v>
      </c>
      <c r="C15" s="2">
        <f>IFERROR(__xludf.DUMMYFUNCTION("""COMPUTED_VALUE"""),101.4)</f>
        <v>101.4</v>
      </c>
      <c r="D15" s="2">
        <f>IFERROR(__xludf.DUMMYFUNCTION("""COMPUTED_VALUE"""),98.75)</f>
        <v>98.75</v>
      </c>
      <c r="E15" s="2">
        <f>IFERROR(__xludf.DUMMYFUNCTION("""COMPUTED_VALUE"""),101.21)</f>
        <v>101.21</v>
      </c>
      <c r="F15" s="2">
        <f>IFERROR(__xludf.DUMMYFUNCTION("""COMPUTED_VALUE"""),3.1791782E7)</f>
        <v>31791782</v>
      </c>
    </row>
    <row r="16">
      <c r="A16" s="3">
        <f>IFERROR(__xludf.DUMMYFUNCTION("""COMPUTED_VALUE"""),44950.66666666667)</f>
        <v>44950.66667</v>
      </c>
      <c r="B16" s="2">
        <f>IFERROR(__xludf.DUMMYFUNCTION("""COMPUTED_VALUE"""),99.55)</f>
        <v>99.55</v>
      </c>
      <c r="C16" s="2">
        <f>IFERROR(__xludf.DUMMYFUNCTION("""COMPUTED_VALUE"""),101.09)</f>
        <v>101.09</v>
      </c>
      <c r="D16" s="2">
        <f>IFERROR(__xludf.DUMMYFUNCTION("""COMPUTED_VALUE"""),98.7)</f>
        <v>98.7</v>
      </c>
      <c r="E16" s="2">
        <f>IFERROR(__xludf.DUMMYFUNCTION("""COMPUTED_VALUE"""),99.21)</f>
        <v>99.21</v>
      </c>
      <c r="F16" s="2">
        <f>IFERROR(__xludf.DUMMYFUNCTION("""COMPUTED_VALUE"""),2.7391372E7)</f>
        <v>27391372</v>
      </c>
    </row>
    <row r="17">
      <c r="A17" s="3">
        <f>IFERROR(__xludf.DUMMYFUNCTION("""COMPUTED_VALUE"""),44951.66666666667)</f>
        <v>44951.66667</v>
      </c>
      <c r="B17" s="2">
        <f>IFERROR(__xludf.DUMMYFUNCTION("""COMPUTED_VALUE"""),97.2)</f>
        <v>97.2</v>
      </c>
      <c r="C17" s="2">
        <f>IFERROR(__xludf.DUMMYFUNCTION("""COMPUTED_VALUE"""),97.72)</f>
        <v>97.72</v>
      </c>
      <c r="D17" s="2">
        <f>IFERROR(__xludf.DUMMYFUNCTION("""COMPUTED_VALUE"""),95.26)</f>
        <v>95.26</v>
      </c>
      <c r="E17" s="2">
        <f>IFERROR(__xludf.DUMMYFUNCTION("""COMPUTED_VALUE"""),96.73)</f>
        <v>96.73</v>
      </c>
      <c r="F17" s="2">
        <f>IFERROR(__xludf.DUMMYFUNCTION("""COMPUTED_VALUE"""),3.100085E7)</f>
        <v>31000850</v>
      </c>
    </row>
    <row r="18">
      <c r="A18" s="3">
        <f>IFERROR(__xludf.DUMMYFUNCTION("""COMPUTED_VALUE"""),44952.66666666667)</f>
        <v>44952.66667</v>
      </c>
      <c r="B18" s="2">
        <f>IFERROR(__xludf.DUMMYFUNCTION("""COMPUTED_VALUE"""),98.28)</f>
        <v>98.28</v>
      </c>
      <c r="C18" s="2">
        <f>IFERROR(__xludf.DUMMYFUNCTION("""COMPUTED_VALUE"""),99.21)</f>
        <v>99.21</v>
      </c>
      <c r="D18" s="2">
        <f>IFERROR(__xludf.DUMMYFUNCTION("""COMPUTED_VALUE"""),96.82)</f>
        <v>96.82</v>
      </c>
      <c r="E18" s="2">
        <f>IFERROR(__xludf.DUMMYFUNCTION("""COMPUTED_VALUE"""),99.16)</f>
        <v>99.16</v>
      </c>
      <c r="F18" s="2">
        <f>IFERROR(__xludf.DUMMYFUNCTION("""COMPUTED_VALUE"""),2.454206E7)</f>
        <v>24542060</v>
      </c>
    </row>
    <row r="19">
      <c r="A19" s="3">
        <f>IFERROR(__xludf.DUMMYFUNCTION("""COMPUTED_VALUE"""),44953.66666666667)</f>
        <v>44953.66667</v>
      </c>
      <c r="B19" s="2">
        <f>IFERROR(__xludf.DUMMYFUNCTION("""COMPUTED_VALUE"""),99.05)</f>
        <v>99.05</v>
      </c>
      <c r="C19" s="2">
        <f>IFERROR(__xludf.DUMMYFUNCTION("""COMPUTED_VALUE"""),101.58)</f>
        <v>101.58</v>
      </c>
      <c r="D19" s="2">
        <f>IFERROR(__xludf.DUMMYFUNCTION("""COMPUTED_VALUE"""),98.97)</f>
        <v>98.97</v>
      </c>
      <c r="E19" s="2">
        <f>IFERROR(__xludf.DUMMYFUNCTION("""COMPUTED_VALUE"""),100.71)</f>
        <v>100.71</v>
      </c>
      <c r="F19" s="2">
        <f>IFERROR(__xludf.DUMMYFUNCTION("""COMPUTED_VALUE"""),2.9020354E7)</f>
        <v>29020354</v>
      </c>
    </row>
    <row r="20">
      <c r="A20" s="3">
        <f>IFERROR(__xludf.DUMMYFUNCTION("""COMPUTED_VALUE"""),44956.66666666667)</f>
        <v>44956.66667</v>
      </c>
      <c r="B20" s="2">
        <f>IFERROR(__xludf.DUMMYFUNCTION("""COMPUTED_VALUE"""),98.75)</f>
        <v>98.75</v>
      </c>
      <c r="C20" s="2">
        <f>IFERROR(__xludf.DUMMYFUNCTION("""COMPUTED_VALUE"""),99.41)</f>
        <v>99.41</v>
      </c>
      <c r="D20" s="2">
        <f>IFERROR(__xludf.DUMMYFUNCTION("""COMPUTED_VALUE"""),97.52)</f>
        <v>97.52</v>
      </c>
      <c r="E20" s="2">
        <f>IFERROR(__xludf.DUMMYFUNCTION("""COMPUTED_VALUE"""),97.95)</f>
        <v>97.95</v>
      </c>
      <c r="F20" s="2">
        <f>IFERROR(__xludf.DUMMYFUNCTION("""COMPUTED_VALUE"""),2.4365142E7)</f>
        <v>24365142</v>
      </c>
    </row>
    <row r="21">
      <c r="A21" s="3">
        <f>IFERROR(__xludf.DUMMYFUNCTION("""COMPUTED_VALUE"""),44957.66666666667)</f>
        <v>44957.66667</v>
      </c>
      <c r="B21" s="2">
        <f>IFERROR(__xludf.DUMMYFUNCTION("""COMPUTED_VALUE"""),97.86)</f>
        <v>97.86</v>
      </c>
      <c r="C21" s="2">
        <f>IFERROR(__xludf.DUMMYFUNCTION("""COMPUTED_VALUE"""),99.91)</f>
        <v>99.91</v>
      </c>
      <c r="D21" s="2">
        <f>IFERROR(__xludf.DUMMYFUNCTION("""COMPUTED_VALUE"""),97.79)</f>
        <v>97.79</v>
      </c>
      <c r="E21" s="2">
        <f>IFERROR(__xludf.DUMMYFUNCTION("""COMPUTED_VALUE"""),99.87)</f>
        <v>99.87</v>
      </c>
      <c r="F21" s="2">
        <f>IFERROR(__xludf.DUMMYFUNCTION("""COMPUTED_VALUE"""),2.2306778E7)</f>
        <v>22306778</v>
      </c>
    </row>
    <row r="22">
      <c r="A22" s="3">
        <f>IFERROR(__xludf.DUMMYFUNCTION("""COMPUTED_VALUE"""),44958.66666666667)</f>
        <v>44958.66667</v>
      </c>
      <c r="B22" s="2">
        <f>IFERROR(__xludf.DUMMYFUNCTION("""COMPUTED_VALUE"""),99.74)</f>
        <v>99.74</v>
      </c>
      <c r="C22" s="2">
        <f>IFERROR(__xludf.DUMMYFUNCTION("""COMPUTED_VALUE"""),102.19)</f>
        <v>102.19</v>
      </c>
      <c r="D22" s="2">
        <f>IFERROR(__xludf.DUMMYFUNCTION("""COMPUTED_VALUE"""),98.42)</f>
        <v>98.42</v>
      </c>
      <c r="E22" s="2">
        <f>IFERROR(__xludf.DUMMYFUNCTION("""COMPUTED_VALUE"""),101.43)</f>
        <v>101.43</v>
      </c>
      <c r="F22" s="2">
        <f>IFERROR(__xludf.DUMMYFUNCTION("""COMPUTED_VALUE"""),2.6392568E7)</f>
        <v>26392568</v>
      </c>
    </row>
    <row r="23">
      <c r="A23" s="3">
        <f>IFERROR(__xludf.DUMMYFUNCTION("""COMPUTED_VALUE"""),44959.66666666667)</f>
        <v>44959.66667</v>
      </c>
      <c r="B23" s="2">
        <f>IFERROR(__xludf.DUMMYFUNCTION("""COMPUTED_VALUE"""),106.79)</f>
        <v>106.79</v>
      </c>
      <c r="C23" s="2">
        <f>IFERROR(__xludf.DUMMYFUNCTION("""COMPUTED_VALUE"""),108.82)</f>
        <v>108.82</v>
      </c>
      <c r="D23" s="2">
        <f>IFERROR(__xludf.DUMMYFUNCTION("""COMPUTED_VALUE"""),106.54)</f>
        <v>106.54</v>
      </c>
      <c r="E23" s="2">
        <f>IFERROR(__xludf.DUMMYFUNCTION("""COMPUTED_VALUE"""),108.8)</f>
        <v>108.8</v>
      </c>
      <c r="F23" s="2">
        <f>IFERROR(__xludf.DUMMYFUNCTION("""COMPUTED_VALUE"""),4.6622627E7)</f>
        <v>46622627</v>
      </c>
    </row>
    <row r="24">
      <c r="A24" s="3">
        <f>IFERROR(__xludf.DUMMYFUNCTION("""COMPUTED_VALUE"""),44960.66666666667)</f>
        <v>44960.66667</v>
      </c>
      <c r="B24" s="2">
        <f>IFERROR(__xludf.DUMMYFUNCTION("""COMPUTED_VALUE"""),103.51)</f>
        <v>103.51</v>
      </c>
      <c r="C24" s="2">
        <f>IFERROR(__xludf.DUMMYFUNCTION("""COMPUTED_VALUE"""),108.02)</f>
        <v>108.02</v>
      </c>
      <c r="D24" s="2">
        <f>IFERROR(__xludf.DUMMYFUNCTION("""COMPUTED_VALUE"""),103.3)</f>
        <v>103.3</v>
      </c>
      <c r="E24" s="2">
        <f>IFERROR(__xludf.DUMMYFUNCTION("""COMPUTED_VALUE"""),105.22)</f>
        <v>105.22</v>
      </c>
      <c r="F24" s="2">
        <f>IFERROR(__xludf.DUMMYFUNCTION("""COMPUTED_VALUE"""),3.6823421E7)</f>
        <v>36823421</v>
      </c>
    </row>
    <row r="25">
      <c r="A25" s="3">
        <f>IFERROR(__xludf.DUMMYFUNCTION("""COMPUTED_VALUE"""),44963.66666666667)</f>
        <v>44963.66667</v>
      </c>
      <c r="B25" s="2">
        <f>IFERROR(__xludf.DUMMYFUNCTION("""COMPUTED_VALUE"""),102.69)</f>
        <v>102.69</v>
      </c>
      <c r="C25" s="2">
        <f>IFERROR(__xludf.DUMMYFUNCTION("""COMPUTED_VALUE"""),104.7)</f>
        <v>104.7</v>
      </c>
      <c r="D25" s="2">
        <f>IFERROR(__xludf.DUMMYFUNCTION("""COMPUTED_VALUE"""),102.21)</f>
        <v>102.21</v>
      </c>
      <c r="E25" s="2">
        <f>IFERROR(__xludf.DUMMYFUNCTION("""COMPUTED_VALUE"""),103.47)</f>
        <v>103.47</v>
      </c>
      <c r="F25" s="2">
        <f>IFERROR(__xludf.DUMMYFUNCTION("""COMPUTED_VALUE"""),2.5573046E7)</f>
        <v>25573046</v>
      </c>
    </row>
    <row r="26">
      <c r="A26" s="3">
        <f>IFERROR(__xludf.DUMMYFUNCTION("""COMPUTED_VALUE"""),44964.66666666667)</f>
        <v>44964.66667</v>
      </c>
      <c r="B26" s="2">
        <f>IFERROR(__xludf.DUMMYFUNCTION("""COMPUTED_VALUE"""),103.63)</f>
        <v>103.63</v>
      </c>
      <c r="C26" s="2">
        <f>IFERROR(__xludf.DUMMYFUNCTION("""COMPUTED_VALUE"""),108.67)</f>
        <v>108.67</v>
      </c>
      <c r="D26" s="2">
        <f>IFERROR(__xludf.DUMMYFUNCTION("""COMPUTED_VALUE"""),103.55)</f>
        <v>103.55</v>
      </c>
      <c r="E26" s="2">
        <f>IFERROR(__xludf.DUMMYFUNCTION("""COMPUTED_VALUE"""),108.04)</f>
        <v>108.04</v>
      </c>
      <c r="F26" s="2">
        <f>IFERROR(__xludf.DUMMYFUNCTION("""COMPUTED_VALUE"""),3.3738828E7)</f>
        <v>33738828</v>
      </c>
    </row>
    <row r="27">
      <c r="A27" s="3">
        <f>IFERROR(__xludf.DUMMYFUNCTION("""COMPUTED_VALUE"""),44965.66666666667)</f>
        <v>44965.66667</v>
      </c>
      <c r="B27" s="2">
        <f>IFERROR(__xludf.DUMMYFUNCTION("""COMPUTED_VALUE"""),102.69)</f>
        <v>102.69</v>
      </c>
      <c r="C27" s="2">
        <f>IFERROR(__xludf.DUMMYFUNCTION("""COMPUTED_VALUE"""),103.58)</f>
        <v>103.58</v>
      </c>
      <c r="D27" s="2">
        <f>IFERROR(__xludf.DUMMYFUNCTION("""COMPUTED_VALUE"""),98.46)</f>
        <v>98.46</v>
      </c>
      <c r="E27" s="2">
        <f>IFERROR(__xludf.DUMMYFUNCTION("""COMPUTED_VALUE"""),100.0)</f>
        <v>100</v>
      </c>
      <c r="F27" s="2">
        <f>IFERROR(__xludf.DUMMYFUNCTION("""COMPUTED_VALUE"""),7.3546029E7)</f>
        <v>73546029</v>
      </c>
    </row>
    <row r="28">
      <c r="A28" s="3">
        <f>IFERROR(__xludf.DUMMYFUNCTION("""COMPUTED_VALUE"""),44966.66666666667)</f>
        <v>44966.66667</v>
      </c>
      <c r="B28" s="2">
        <f>IFERROR(__xludf.DUMMYFUNCTION("""COMPUTED_VALUE"""),100.54)</f>
        <v>100.54</v>
      </c>
      <c r="C28" s="2">
        <f>IFERROR(__xludf.DUMMYFUNCTION("""COMPUTED_VALUE"""),100.61)</f>
        <v>100.61</v>
      </c>
      <c r="D28" s="2">
        <f>IFERROR(__xludf.DUMMYFUNCTION("""COMPUTED_VALUE"""),93.86)</f>
        <v>93.86</v>
      </c>
      <c r="E28" s="2">
        <f>IFERROR(__xludf.DUMMYFUNCTION("""COMPUTED_VALUE"""),95.46)</f>
        <v>95.46</v>
      </c>
      <c r="F28" s="2">
        <f>IFERROR(__xludf.DUMMYFUNCTION("""COMPUTED_VALUE"""),9.7798573E7)</f>
        <v>97798573</v>
      </c>
    </row>
    <row r="29">
      <c r="A29" s="3">
        <f>IFERROR(__xludf.DUMMYFUNCTION("""COMPUTED_VALUE"""),44967.66666666667)</f>
        <v>44967.66667</v>
      </c>
      <c r="B29" s="2">
        <f>IFERROR(__xludf.DUMMYFUNCTION("""COMPUTED_VALUE"""),95.74)</f>
        <v>95.74</v>
      </c>
      <c r="C29" s="2">
        <f>IFERROR(__xludf.DUMMYFUNCTION("""COMPUTED_VALUE"""),97.02)</f>
        <v>97.02</v>
      </c>
      <c r="D29" s="2">
        <f>IFERROR(__xludf.DUMMYFUNCTION("""COMPUTED_VALUE"""),94.53)</f>
        <v>94.53</v>
      </c>
      <c r="E29" s="2">
        <f>IFERROR(__xludf.DUMMYFUNCTION("""COMPUTED_VALUE"""),94.86)</f>
        <v>94.86</v>
      </c>
      <c r="F29" s="2">
        <f>IFERROR(__xludf.DUMMYFUNCTION("""COMPUTED_VALUE"""),4.9325275E7)</f>
        <v>49325275</v>
      </c>
    </row>
    <row r="30">
      <c r="A30" s="3">
        <f>IFERROR(__xludf.DUMMYFUNCTION("""COMPUTED_VALUE"""),44970.66666666667)</f>
        <v>44970.66667</v>
      </c>
      <c r="B30" s="2">
        <f>IFERROR(__xludf.DUMMYFUNCTION("""COMPUTED_VALUE"""),95.01)</f>
        <v>95.01</v>
      </c>
      <c r="C30" s="2">
        <f>IFERROR(__xludf.DUMMYFUNCTION("""COMPUTED_VALUE"""),95.35)</f>
        <v>95.35</v>
      </c>
      <c r="D30" s="2">
        <f>IFERROR(__xludf.DUMMYFUNCTION("""COMPUTED_VALUE"""),94.05)</f>
        <v>94.05</v>
      </c>
      <c r="E30" s="2">
        <f>IFERROR(__xludf.DUMMYFUNCTION("""COMPUTED_VALUE"""),95.0)</f>
        <v>95</v>
      </c>
      <c r="F30" s="2">
        <f>IFERROR(__xludf.DUMMYFUNCTION("""COMPUTED_VALUE"""),4.3116559E7)</f>
        <v>43116559</v>
      </c>
    </row>
    <row r="31">
      <c r="A31" s="3">
        <f>IFERROR(__xludf.DUMMYFUNCTION("""COMPUTED_VALUE"""),44971.66666666667)</f>
        <v>44971.66667</v>
      </c>
      <c r="B31" s="2">
        <f>IFERROR(__xludf.DUMMYFUNCTION("""COMPUTED_VALUE"""),94.66)</f>
        <v>94.66</v>
      </c>
      <c r="C31" s="2">
        <f>IFERROR(__xludf.DUMMYFUNCTION("""COMPUTED_VALUE"""),95.18)</f>
        <v>95.18</v>
      </c>
      <c r="D31" s="2">
        <f>IFERROR(__xludf.DUMMYFUNCTION("""COMPUTED_VALUE"""),92.65)</f>
        <v>92.65</v>
      </c>
      <c r="E31" s="2">
        <f>IFERROR(__xludf.DUMMYFUNCTION("""COMPUTED_VALUE"""),94.95)</f>
        <v>94.95</v>
      </c>
      <c r="F31" s="2">
        <f>IFERROR(__xludf.DUMMYFUNCTION("""COMPUTED_VALUE"""),4.2513079E7)</f>
        <v>42513079</v>
      </c>
    </row>
    <row r="32">
      <c r="A32" s="3">
        <f>IFERROR(__xludf.DUMMYFUNCTION("""COMPUTED_VALUE"""),44972.66666666667)</f>
        <v>44972.66667</v>
      </c>
      <c r="B32" s="2">
        <f>IFERROR(__xludf.DUMMYFUNCTION("""COMPUTED_VALUE"""),94.74)</f>
        <v>94.74</v>
      </c>
      <c r="C32" s="2">
        <f>IFERROR(__xludf.DUMMYFUNCTION("""COMPUTED_VALUE"""),97.34)</f>
        <v>97.34</v>
      </c>
      <c r="D32" s="2">
        <f>IFERROR(__xludf.DUMMYFUNCTION("""COMPUTED_VALUE"""),94.36)</f>
        <v>94.36</v>
      </c>
      <c r="E32" s="2">
        <f>IFERROR(__xludf.DUMMYFUNCTION("""COMPUTED_VALUE"""),97.1)</f>
        <v>97.1</v>
      </c>
      <c r="F32" s="2">
        <f>IFERROR(__xludf.DUMMYFUNCTION("""COMPUTED_VALUE"""),3.7029885E7)</f>
        <v>37029885</v>
      </c>
    </row>
    <row r="33">
      <c r="A33" s="3">
        <f>IFERROR(__xludf.DUMMYFUNCTION("""COMPUTED_VALUE"""),44973.66666666667)</f>
        <v>44973.66667</v>
      </c>
      <c r="B33" s="2">
        <f>IFERROR(__xludf.DUMMYFUNCTION("""COMPUTED_VALUE"""),95.54)</f>
        <v>95.54</v>
      </c>
      <c r="C33" s="2">
        <f>IFERROR(__xludf.DUMMYFUNCTION("""COMPUTED_VALUE"""),97.88)</f>
        <v>97.88</v>
      </c>
      <c r="D33" s="2">
        <f>IFERROR(__xludf.DUMMYFUNCTION("""COMPUTED_VALUE"""),94.97)</f>
        <v>94.97</v>
      </c>
      <c r="E33" s="2">
        <f>IFERROR(__xludf.DUMMYFUNCTION("""COMPUTED_VALUE"""),95.78)</f>
        <v>95.78</v>
      </c>
      <c r="F33" s="2">
        <f>IFERROR(__xludf.DUMMYFUNCTION("""COMPUTED_VALUE"""),3.5642106E7)</f>
        <v>35642106</v>
      </c>
    </row>
    <row r="34">
      <c r="A34" s="3">
        <f>IFERROR(__xludf.DUMMYFUNCTION("""COMPUTED_VALUE"""),44974.66666666667)</f>
        <v>44974.66667</v>
      </c>
      <c r="B34" s="2">
        <f>IFERROR(__xludf.DUMMYFUNCTION("""COMPUTED_VALUE"""),95.07)</f>
        <v>95.07</v>
      </c>
      <c r="C34" s="2">
        <f>IFERROR(__xludf.DUMMYFUNCTION("""COMPUTED_VALUE"""),95.75)</f>
        <v>95.75</v>
      </c>
      <c r="D34" s="2">
        <f>IFERROR(__xludf.DUMMYFUNCTION("""COMPUTED_VALUE"""),93.45)</f>
        <v>93.45</v>
      </c>
      <c r="E34" s="2">
        <f>IFERROR(__xludf.DUMMYFUNCTION("""COMPUTED_VALUE"""),94.59)</f>
        <v>94.59</v>
      </c>
      <c r="F34" s="2">
        <f>IFERROR(__xludf.DUMMYFUNCTION("""COMPUTED_VALUE"""),3.1095067E7)</f>
        <v>31095067</v>
      </c>
    </row>
    <row r="35">
      <c r="A35" s="3">
        <f>IFERROR(__xludf.DUMMYFUNCTION("""COMPUTED_VALUE"""),44978.66666666667)</f>
        <v>44978.66667</v>
      </c>
      <c r="B35" s="2">
        <f>IFERROR(__xludf.DUMMYFUNCTION("""COMPUTED_VALUE"""),93.24)</f>
        <v>93.24</v>
      </c>
      <c r="C35" s="2">
        <f>IFERROR(__xludf.DUMMYFUNCTION("""COMPUTED_VALUE"""),93.41)</f>
        <v>93.41</v>
      </c>
      <c r="D35" s="2">
        <f>IFERROR(__xludf.DUMMYFUNCTION("""COMPUTED_VALUE"""),92.0)</f>
        <v>92</v>
      </c>
      <c r="E35" s="2">
        <f>IFERROR(__xludf.DUMMYFUNCTION("""COMPUTED_VALUE"""),92.05)</f>
        <v>92.05</v>
      </c>
      <c r="F35" s="2">
        <f>IFERROR(__xludf.DUMMYFUNCTION("""COMPUTED_VALUE"""),2.8367198E7)</f>
        <v>28367198</v>
      </c>
    </row>
    <row r="36">
      <c r="A36" s="3">
        <f>IFERROR(__xludf.DUMMYFUNCTION("""COMPUTED_VALUE"""),44979.66666666667)</f>
        <v>44979.66667</v>
      </c>
      <c r="B36" s="2">
        <f>IFERROR(__xludf.DUMMYFUNCTION("""COMPUTED_VALUE"""),91.93)</f>
        <v>91.93</v>
      </c>
      <c r="C36" s="2">
        <f>IFERROR(__xludf.DUMMYFUNCTION("""COMPUTED_VALUE"""),92.36)</f>
        <v>92.36</v>
      </c>
      <c r="D36" s="2">
        <f>IFERROR(__xludf.DUMMYFUNCTION("""COMPUTED_VALUE"""),90.87)</f>
        <v>90.87</v>
      </c>
      <c r="E36" s="2">
        <f>IFERROR(__xludf.DUMMYFUNCTION("""COMPUTED_VALUE"""),91.8)</f>
        <v>91.8</v>
      </c>
      <c r="F36" s="2">
        <f>IFERROR(__xludf.DUMMYFUNCTION("""COMPUTED_VALUE"""),2.9891135E7)</f>
        <v>29891135</v>
      </c>
    </row>
    <row r="37">
      <c r="A37" s="3">
        <f>IFERROR(__xludf.DUMMYFUNCTION("""COMPUTED_VALUE"""),44980.66666666667)</f>
        <v>44980.66667</v>
      </c>
      <c r="B37" s="2">
        <f>IFERROR(__xludf.DUMMYFUNCTION("""COMPUTED_VALUE"""),92.13)</f>
        <v>92.13</v>
      </c>
      <c r="C37" s="2">
        <f>IFERROR(__xludf.DUMMYFUNCTION("""COMPUTED_VALUE"""),92.13)</f>
        <v>92.13</v>
      </c>
      <c r="D37" s="2">
        <f>IFERROR(__xludf.DUMMYFUNCTION("""COMPUTED_VALUE"""),90.01)</f>
        <v>90.01</v>
      </c>
      <c r="E37" s="2">
        <f>IFERROR(__xludf.DUMMYFUNCTION("""COMPUTED_VALUE"""),91.07)</f>
        <v>91.07</v>
      </c>
      <c r="F37" s="2">
        <f>IFERROR(__xludf.DUMMYFUNCTION("""COMPUTED_VALUE"""),3.242372E7)</f>
        <v>32423720</v>
      </c>
    </row>
    <row r="38">
      <c r="A38" s="3">
        <f>IFERROR(__xludf.DUMMYFUNCTION("""COMPUTED_VALUE"""),44981.66666666667)</f>
        <v>44981.66667</v>
      </c>
      <c r="B38" s="2">
        <f>IFERROR(__xludf.DUMMYFUNCTION("""COMPUTED_VALUE"""),89.63)</f>
        <v>89.63</v>
      </c>
      <c r="C38" s="2">
        <f>IFERROR(__xludf.DUMMYFUNCTION("""COMPUTED_VALUE"""),90.13)</f>
        <v>90.13</v>
      </c>
      <c r="D38" s="2">
        <f>IFERROR(__xludf.DUMMYFUNCTION("""COMPUTED_VALUE"""),88.86)</f>
        <v>88.86</v>
      </c>
      <c r="E38" s="2">
        <f>IFERROR(__xludf.DUMMYFUNCTION("""COMPUTED_VALUE"""),89.35)</f>
        <v>89.35</v>
      </c>
      <c r="F38" s="2">
        <f>IFERROR(__xludf.DUMMYFUNCTION("""COMPUTED_VALUE"""),3.1295619E7)</f>
        <v>31295619</v>
      </c>
    </row>
    <row r="39">
      <c r="A39" s="3">
        <f>IFERROR(__xludf.DUMMYFUNCTION("""COMPUTED_VALUE"""),44984.66666666667)</f>
        <v>44984.66667</v>
      </c>
      <c r="B39" s="2">
        <f>IFERROR(__xludf.DUMMYFUNCTION("""COMPUTED_VALUE"""),90.09)</f>
        <v>90.09</v>
      </c>
      <c r="C39" s="2">
        <f>IFERROR(__xludf.DUMMYFUNCTION("""COMPUTED_VALUE"""),90.45)</f>
        <v>90.45</v>
      </c>
      <c r="D39" s="2">
        <f>IFERROR(__xludf.DUMMYFUNCTION("""COMPUTED_VALUE"""),89.61)</f>
        <v>89.61</v>
      </c>
      <c r="E39" s="2">
        <f>IFERROR(__xludf.DUMMYFUNCTION("""COMPUTED_VALUE"""),90.1)</f>
        <v>90.1</v>
      </c>
      <c r="F39" s="2">
        <f>IFERROR(__xludf.DUMMYFUNCTION("""COMPUTED_VALUE"""),2.2724262E7)</f>
        <v>22724262</v>
      </c>
    </row>
    <row r="40">
      <c r="A40" s="3">
        <f>IFERROR(__xludf.DUMMYFUNCTION("""COMPUTED_VALUE"""),44985.66666666667)</f>
        <v>44985.66667</v>
      </c>
      <c r="B40" s="2">
        <f>IFERROR(__xludf.DUMMYFUNCTION("""COMPUTED_VALUE"""),89.54)</f>
        <v>89.54</v>
      </c>
      <c r="C40" s="2">
        <f>IFERROR(__xludf.DUMMYFUNCTION("""COMPUTED_VALUE"""),91.45)</f>
        <v>91.45</v>
      </c>
      <c r="D40" s="2">
        <f>IFERROR(__xludf.DUMMYFUNCTION("""COMPUTED_VALUE"""),89.52)</f>
        <v>89.52</v>
      </c>
      <c r="E40" s="2">
        <f>IFERROR(__xludf.DUMMYFUNCTION("""COMPUTED_VALUE"""),90.3)</f>
        <v>90.3</v>
      </c>
      <c r="F40" s="2">
        <f>IFERROR(__xludf.DUMMYFUNCTION("""COMPUTED_VALUE"""),3.0546912E7)</f>
        <v>30546912</v>
      </c>
    </row>
    <row r="41">
      <c r="A41" s="3">
        <f>IFERROR(__xludf.DUMMYFUNCTION("""COMPUTED_VALUE"""),44986.66666666667)</f>
        <v>44986.66667</v>
      </c>
      <c r="B41" s="2">
        <f>IFERROR(__xludf.DUMMYFUNCTION("""COMPUTED_VALUE"""),90.16)</f>
        <v>90.16</v>
      </c>
      <c r="C41" s="2">
        <f>IFERROR(__xludf.DUMMYFUNCTION("""COMPUTED_VALUE"""),91.2)</f>
        <v>91.2</v>
      </c>
      <c r="D41" s="2">
        <f>IFERROR(__xludf.DUMMYFUNCTION("""COMPUTED_VALUE"""),89.85)</f>
        <v>89.85</v>
      </c>
      <c r="E41" s="2">
        <f>IFERROR(__xludf.DUMMYFUNCTION("""COMPUTED_VALUE"""),90.51)</f>
        <v>90.51</v>
      </c>
      <c r="F41" s="2">
        <f>IFERROR(__xludf.DUMMYFUNCTION("""COMPUTED_VALUE"""),2.6323876E7)</f>
        <v>26323876</v>
      </c>
    </row>
    <row r="42">
      <c r="A42" s="3">
        <f>IFERROR(__xludf.DUMMYFUNCTION("""COMPUTED_VALUE"""),44987.66666666667)</f>
        <v>44987.66667</v>
      </c>
      <c r="B42" s="2">
        <f>IFERROR(__xludf.DUMMYFUNCTION("""COMPUTED_VALUE"""),89.86)</f>
        <v>89.86</v>
      </c>
      <c r="C42" s="2">
        <f>IFERROR(__xludf.DUMMYFUNCTION("""COMPUTED_VALUE"""),92.48)</f>
        <v>92.48</v>
      </c>
      <c r="D42" s="2">
        <f>IFERROR(__xludf.DUMMYFUNCTION("""COMPUTED_VALUE"""),89.77)</f>
        <v>89.77</v>
      </c>
      <c r="E42" s="2">
        <f>IFERROR(__xludf.DUMMYFUNCTION("""COMPUTED_VALUE"""),92.31)</f>
        <v>92.31</v>
      </c>
      <c r="F42" s="2">
        <f>IFERROR(__xludf.DUMMYFUNCTION("""COMPUTED_VALUE"""),2.3344562E7)</f>
        <v>23344562</v>
      </c>
    </row>
    <row r="43">
      <c r="A43" s="3">
        <f>IFERROR(__xludf.DUMMYFUNCTION("""COMPUTED_VALUE"""),44988.66666666667)</f>
        <v>44988.66667</v>
      </c>
      <c r="B43" s="2">
        <f>IFERROR(__xludf.DUMMYFUNCTION("""COMPUTED_VALUE"""),92.74)</f>
        <v>92.74</v>
      </c>
      <c r="C43" s="2">
        <f>IFERROR(__xludf.DUMMYFUNCTION("""COMPUTED_VALUE"""),94.11)</f>
        <v>94.11</v>
      </c>
      <c r="D43" s="2">
        <f>IFERROR(__xludf.DUMMYFUNCTION("""COMPUTED_VALUE"""),92.66)</f>
        <v>92.66</v>
      </c>
      <c r="E43" s="2">
        <f>IFERROR(__xludf.DUMMYFUNCTION("""COMPUTED_VALUE"""),94.02)</f>
        <v>94.02</v>
      </c>
      <c r="F43" s="2">
        <f>IFERROR(__xludf.DUMMYFUNCTION("""COMPUTED_VALUE"""),3.0242538E7)</f>
        <v>30242538</v>
      </c>
    </row>
    <row r="44">
      <c r="A44" s="3">
        <f>IFERROR(__xludf.DUMMYFUNCTION("""COMPUTED_VALUE"""),44991.66666666667)</f>
        <v>44991.66667</v>
      </c>
      <c r="B44" s="2">
        <f>IFERROR(__xludf.DUMMYFUNCTION("""COMPUTED_VALUE"""),94.36)</f>
        <v>94.36</v>
      </c>
      <c r="C44" s="2">
        <f>IFERROR(__xludf.DUMMYFUNCTION("""COMPUTED_VALUE"""),96.3)</f>
        <v>96.3</v>
      </c>
      <c r="D44" s="2">
        <f>IFERROR(__xludf.DUMMYFUNCTION("""COMPUTED_VALUE"""),94.3)</f>
        <v>94.3</v>
      </c>
      <c r="E44" s="2">
        <f>IFERROR(__xludf.DUMMYFUNCTION("""COMPUTED_VALUE"""),95.58)</f>
        <v>95.58</v>
      </c>
      <c r="F44" s="2">
        <f>IFERROR(__xludf.DUMMYFUNCTION("""COMPUTED_VALUE"""),2.8288206E7)</f>
        <v>28288206</v>
      </c>
    </row>
    <row r="45">
      <c r="A45" s="3">
        <f>IFERROR(__xludf.DUMMYFUNCTION("""COMPUTED_VALUE"""),44992.66666666667)</f>
        <v>44992.66667</v>
      </c>
      <c r="B45" s="2">
        <f>IFERROR(__xludf.DUMMYFUNCTION("""COMPUTED_VALUE"""),95.42)</f>
        <v>95.42</v>
      </c>
      <c r="C45" s="2">
        <f>IFERROR(__xludf.DUMMYFUNCTION("""COMPUTED_VALUE"""),96.09)</f>
        <v>96.09</v>
      </c>
      <c r="D45" s="2">
        <f>IFERROR(__xludf.DUMMYFUNCTION("""COMPUTED_VALUE"""),93.84)</f>
        <v>93.84</v>
      </c>
      <c r="E45" s="2">
        <f>IFERROR(__xludf.DUMMYFUNCTION("""COMPUTED_VALUE"""),94.17)</f>
        <v>94.17</v>
      </c>
      <c r="F45" s="2">
        <f>IFERROR(__xludf.DUMMYFUNCTION("""COMPUTED_VALUE"""),2.4101536E7)</f>
        <v>24101536</v>
      </c>
    </row>
    <row r="46">
      <c r="A46" s="3">
        <f>IFERROR(__xludf.DUMMYFUNCTION("""COMPUTED_VALUE"""),44993.66666666667)</f>
        <v>44993.66667</v>
      </c>
      <c r="B46" s="2">
        <f>IFERROR(__xludf.DUMMYFUNCTION("""COMPUTED_VALUE"""),94.41)</f>
        <v>94.41</v>
      </c>
      <c r="C46" s="2">
        <f>IFERROR(__xludf.DUMMYFUNCTION("""COMPUTED_VALUE"""),96.24)</f>
        <v>96.24</v>
      </c>
      <c r="D46" s="2">
        <f>IFERROR(__xludf.DUMMYFUNCTION("""COMPUTED_VALUE"""),94.41)</f>
        <v>94.41</v>
      </c>
      <c r="E46" s="2">
        <f>IFERROR(__xludf.DUMMYFUNCTION("""COMPUTED_VALUE"""),94.65)</f>
        <v>94.65</v>
      </c>
      <c r="F46" s="2">
        <f>IFERROR(__xludf.DUMMYFUNCTION("""COMPUTED_VALUE"""),2.53952E7)</f>
        <v>25395200</v>
      </c>
    </row>
    <row r="47">
      <c r="A47" s="3">
        <f>IFERROR(__xludf.DUMMYFUNCTION("""COMPUTED_VALUE"""),44994.66666666667)</f>
        <v>44994.66667</v>
      </c>
      <c r="B47" s="2">
        <f>IFERROR(__xludf.DUMMYFUNCTION("""COMPUTED_VALUE"""),94.49)</f>
        <v>94.49</v>
      </c>
      <c r="C47" s="2">
        <f>IFERROR(__xludf.DUMMYFUNCTION("""COMPUTED_VALUE"""),95.92)</f>
        <v>95.92</v>
      </c>
      <c r="D47" s="2">
        <f>IFERROR(__xludf.DUMMYFUNCTION("""COMPUTED_VALUE"""),92.36)</f>
        <v>92.36</v>
      </c>
      <c r="E47" s="2">
        <f>IFERROR(__xludf.DUMMYFUNCTION("""COMPUTED_VALUE"""),92.66)</f>
        <v>92.66</v>
      </c>
      <c r="F47" s="2">
        <f>IFERROR(__xludf.DUMMYFUNCTION("""COMPUTED_VALUE"""),2.443889E7)</f>
        <v>24438890</v>
      </c>
    </row>
    <row r="48">
      <c r="A48" s="3">
        <f>IFERROR(__xludf.DUMMYFUNCTION("""COMPUTED_VALUE"""),44995.66666666667)</f>
        <v>44995.66667</v>
      </c>
      <c r="B48" s="2">
        <f>IFERROR(__xludf.DUMMYFUNCTION("""COMPUTED_VALUE"""),92.5)</f>
        <v>92.5</v>
      </c>
      <c r="C48" s="2">
        <f>IFERROR(__xludf.DUMMYFUNCTION("""COMPUTED_VALUE"""),93.18)</f>
        <v>93.18</v>
      </c>
      <c r="D48" s="2">
        <f>IFERROR(__xludf.DUMMYFUNCTION("""COMPUTED_VALUE"""),90.8)</f>
        <v>90.8</v>
      </c>
      <c r="E48" s="2">
        <f>IFERROR(__xludf.DUMMYFUNCTION("""COMPUTED_VALUE"""),91.01)</f>
        <v>91.01</v>
      </c>
      <c r="F48" s="2">
        <f>IFERROR(__xludf.DUMMYFUNCTION("""COMPUTED_VALUE"""),3.2850092E7)</f>
        <v>32850092</v>
      </c>
    </row>
    <row r="49">
      <c r="A49" s="3">
        <f>IFERROR(__xludf.DUMMYFUNCTION("""COMPUTED_VALUE"""),44998.66666666667)</f>
        <v>44998.66667</v>
      </c>
      <c r="B49" s="2">
        <f>IFERROR(__xludf.DUMMYFUNCTION("""COMPUTED_VALUE"""),90.57)</f>
        <v>90.57</v>
      </c>
      <c r="C49" s="2">
        <f>IFERROR(__xludf.DUMMYFUNCTION("""COMPUTED_VALUE"""),93.08)</f>
        <v>93.08</v>
      </c>
      <c r="D49" s="2">
        <f>IFERROR(__xludf.DUMMYFUNCTION("""COMPUTED_VALUE"""),89.94)</f>
        <v>89.94</v>
      </c>
      <c r="E49" s="2">
        <f>IFERROR(__xludf.DUMMYFUNCTION("""COMPUTED_VALUE"""),91.66)</f>
        <v>91.66</v>
      </c>
      <c r="F49" s="2">
        <f>IFERROR(__xludf.DUMMYFUNCTION("""COMPUTED_VALUE"""),3.150857E7)</f>
        <v>31508570</v>
      </c>
    </row>
    <row r="50">
      <c r="A50" s="3">
        <f>IFERROR(__xludf.DUMMYFUNCTION("""COMPUTED_VALUE"""),44999.66666666667)</f>
        <v>44999.66667</v>
      </c>
      <c r="B50" s="2">
        <f>IFERROR(__xludf.DUMMYFUNCTION("""COMPUTED_VALUE"""),93.07)</f>
        <v>93.07</v>
      </c>
      <c r="C50" s="2">
        <f>IFERROR(__xludf.DUMMYFUNCTION("""COMPUTED_VALUE"""),94.83)</f>
        <v>94.83</v>
      </c>
      <c r="D50" s="2">
        <f>IFERROR(__xludf.DUMMYFUNCTION("""COMPUTED_VALUE"""),92.78)</f>
        <v>92.78</v>
      </c>
      <c r="E50" s="2">
        <f>IFERROR(__xludf.DUMMYFUNCTION("""COMPUTED_VALUE"""),94.25)</f>
        <v>94.25</v>
      </c>
      <c r="F50" s="2">
        <f>IFERROR(__xludf.DUMMYFUNCTION("""COMPUTED_VALUE"""),3.2303881E7)</f>
        <v>32303881</v>
      </c>
    </row>
    <row r="51">
      <c r="A51" s="3">
        <f>IFERROR(__xludf.DUMMYFUNCTION("""COMPUTED_VALUE"""),45000.66666666667)</f>
        <v>45000.66667</v>
      </c>
      <c r="B51" s="2">
        <f>IFERROR(__xludf.DUMMYFUNCTION("""COMPUTED_VALUE"""),93.54)</f>
        <v>93.54</v>
      </c>
      <c r="C51" s="2">
        <f>IFERROR(__xludf.DUMMYFUNCTION("""COMPUTED_VALUE"""),97.25)</f>
        <v>97.25</v>
      </c>
      <c r="D51" s="2">
        <f>IFERROR(__xludf.DUMMYFUNCTION("""COMPUTED_VALUE"""),93.04)</f>
        <v>93.04</v>
      </c>
      <c r="E51" s="2">
        <f>IFERROR(__xludf.DUMMYFUNCTION("""COMPUTED_VALUE"""),96.55)</f>
        <v>96.55</v>
      </c>
      <c r="F51" s="2">
        <f>IFERROR(__xludf.DUMMYFUNCTION("""COMPUTED_VALUE"""),3.8367334E7)</f>
        <v>38367334</v>
      </c>
    </row>
    <row r="52">
      <c r="A52" s="3">
        <f>IFERROR(__xludf.DUMMYFUNCTION("""COMPUTED_VALUE"""),45001.66666666667)</f>
        <v>45001.66667</v>
      </c>
      <c r="B52" s="2">
        <f>IFERROR(__xludf.DUMMYFUNCTION("""COMPUTED_VALUE"""),96.57)</f>
        <v>96.57</v>
      </c>
      <c r="C52" s="2">
        <f>IFERROR(__xludf.DUMMYFUNCTION("""COMPUTED_VALUE"""),101.97)</f>
        <v>101.97</v>
      </c>
      <c r="D52" s="2">
        <f>IFERROR(__xludf.DUMMYFUNCTION("""COMPUTED_VALUE"""),95.87)</f>
        <v>95.87</v>
      </c>
      <c r="E52" s="2">
        <f>IFERROR(__xludf.DUMMYFUNCTION("""COMPUTED_VALUE"""),101.07)</f>
        <v>101.07</v>
      </c>
      <c r="F52" s="2">
        <f>IFERROR(__xludf.DUMMYFUNCTION("""COMPUTED_VALUE"""),5.45882E7)</f>
        <v>54588200</v>
      </c>
    </row>
    <row r="53">
      <c r="A53" s="3">
        <f>IFERROR(__xludf.DUMMYFUNCTION("""COMPUTED_VALUE"""),45002.66666666667)</f>
        <v>45002.66667</v>
      </c>
      <c r="B53" s="2">
        <f>IFERROR(__xludf.DUMMYFUNCTION("""COMPUTED_VALUE"""),100.84)</f>
        <v>100.84</v>
      </c>
      <c r="C53" s="2">
        <f>IFERROR(__xludf.DUMMYFUNCTION("""COMPUTED_VALUE"""),103.49)</f>
        <v>103.49</v>
      </c>
      <c r="D53" s="2">
        <f>IFERROR(__xludf.DUMMYFUNCTION("""COMPUTED_VALUE"""),100.75)</f>
        <v>100.75</v>
      </c>
      <c r="E53" s="2">
        <f>IFERROR(__xludf.DUMMYFUNCTION("""COMPUTED_VALUE"""),102.46)</f>
        <v>102.46</v>
      </c>
      <c r="F53" s="2">
        <f>IFERROR(__xludf.DUMMYFUNCTION("""COMPUTED_VALUE"""),7.614031E7)</f>
        <v>76140310</v>
      </c>
    </row>
    <row r="54">
      <c r="A54" s="3">
        <f>IFERROR(__xludf.DUMMYFUNCTION("""COMPUTED_VALUE"""),45005.66666666667)</f>
        <v>45005.66667</v>
      </c>
      <c r="B54" s="2">
        <f>IFERROR(__xludf.DUMMYFUNCTION("""COMPUTED_VALUE"""),101.06)</f>
        <v>101.06</v>
      </c>
      <c r="C54" s="2">
        <f>IFERROR(__xludf.DUMMYFUNCTION("""COMPUTED_VALUE"""),102.58)</f>
        <v>102.58</v>
      </c>
      <c r="D54" s="2">
        <f>IFERROR(__xludf.DUMMYFUNCTION("""COMPUTED_VALUE"""),100.79)</f>
        <v>100.79</v>
      </c>
      <c r="E54" s="2">
        <f>IFERROR(__xludf.DUMMYFUNCTION("""COMPUTED_VALUE"""),101.93)</f>
        <v>101.93</v>
      </c>
      <c r="F54" s="2">
        <f>IFERROR(__xludf.DUMMYFUNCTION("""COMPUTED_VALUE"""),2.6033916E7)</f>
        <v>26033916</v>
      </c>
    </row>
    <row r="55">
      <c r="A55" s="3">
        <f>IFERROR(__xludf.DUMMYFUNCTION("""COMPUTED_VALUE"""),45006.66666666667)</f>
        <v>45006.66667</v>
      </c>
      <c r="B55" s="2">
        <f>IFERROR(__xludf.DUMMYFUNCTION("""COMPUTED_VALUE"""),101.98)</f>
        <v>101.98</v>
      </c>
      <c r="C55" s="2">
        <f>IFERROR(__xludf.DUMMYFUNCTION("""COMPUTED_VALUE"""),105.96)</f>
        <v>105.96</v>
      </c>
      <c r="D55" s="2">
        <f>IFERROR(__xludf.DUMMYFUNCTION("""COMPUTED_VALUE"""),101.86)</f>
        <v>101.86</v>
      </c>
      <c r="E55" s="2">
        <f>IFERROR(__xludf.DUMMYFUNCTION("""COMPUTED_VALUE"""),105.84)</f>
        <v>105.84</v>
      </c>
      <c r="F55" s="2">
        <f>IFERROR(__xludf.DUMMYFUNCTION("""COMPUTED_VALUE"""),3.31228E7)</f>
        <v>33122800</v>
      </c>
    </row>
    <row r="56">
      <c r="A56" s="3">
        <f>IFERROR(__xludf.DUMMYFUNCTION("""COMPUTED_VALUE"""),45007.66666666667)</f>
        <v>45007.66667</v>
      </c>
      <c r="B56" s="2">
        <f>IFERROR(__xludf.DUMMYFUNCTION("""COMPUTED_VALUE"""),105.14)</f>
        <v>105.14</v>
      </c>
      <c r="C56" s="2">
        <f>IFERROR(__xludf.DUMMYFUNCTION("""COMPUTED_VALUE"""),107.51)</f>
        <v>107.51</v>
      </c>
      <c r="D56" s="2">
        <f>IFERROR(__xludf.DUMMYFUNCTION("""COMPUTED_VALUE"""),104.21)</f>
        <v>104.21</v>
      </c>
      <c r="E56" s="2">
        <f>IFERROR(__xludf.DUMMYFUNCTION("""COMPUTED_VALUE"""),104.22)</f>
        <v>104.22</v>
      </c>
      <c r="F56" s="2">
        <f>IFERROR(__xludf.DUMMYFUNCTION("""COMPUTED_VALUE"""),3.2336877E7)</f>
        <v>32336877</v>
      </c>
    </row>
    <row r="57">
      <c r="A57" s="3">
        <f>IFERROR(__xludf.DUMMYFUNCTION("""COMPUTED_VALUE"""),45008.66666666667)</f>
        <v>45008.66667</v>
      </c>
      <c r="B57" s="2">
        <f>IFERROR(__xludf.DUMMYFUNCTION("""COMPUTED_VALUE"""),105.89)</f>
        <v>105.89</v>
      </c>
      <c r="C57" s="2">
        <f>IFERROR(__xludf.DUMMYFUNCTION("""COMPUTED_VALUE"""),107.1)</f>
        <v>107.1</v>
      </c>
      <c r="D57" s="2">
        <f>IFERROR(__xludf.DUMMYFUNCTION("""COMPUTED_VALUE"""),105.41)</f>
        <v>105.41</v>
      </c>
      <c r="E57" s="2">
        <f>IFERROR(__xludf.DUMMYFUNCTION("""COMPUTED_VALUE"""),106.26)</f>
        <v>106.26</v>
      </c>
      <c r="F57" s="2">
        <f>IFERROR(__xludf.DUMMYFUNCTION("""COMPUTED_VALUE"""),3.1385817E7)</f>
        <v>31385817</v>
      </c>
    </row>
    <row r="58">
      <c r="A58" s="3">
        <f>IFERROR(__xludf.DUMMYFUNCTION("""COMPUTED_VALUE"""),45009.66666666667)</f>
        <v>45009.66667</v>
      </c>
      <c r="B58" s="2">
        <f>IFERROR(__xludf.DUMMYFUNCTION("""COMPUTED_VALUE"""),105.74)</f>
        <v>105.74</v>
      </c>
      <c r="C58" s="2">
        <f>IFERROR(__xludf.DUMMYFUNCTION("""COMPUTED_VALUE"""),106.16)</f>
        <v>106.16</v>
      </c>
      <c r="D58" s="2">
        <f>IFERROR(__xludf.DUMMYFUNCTION("""COMPUTED_VALUE"""),104.74)</f>
        <v>104.74</v>
      </c>
      <c r="E58" s="2">
        <f>IFERROR(__xludf.DUMMYFUNCTION("""COMPUTED_VALUE"""),106.06)</f>
        <v>106.06</v>
      </c>
      <c r="F58" s="2">
        <f>IFERROR(__xludf.DUMMYFUNCTION("""COMPUTED_VALUE"""),2.524501E7)</f>
        <v>25245010</v>
      </c>
    </row>
    <row r="59">
      <c r="A59" s="3">
        <f>IFERROR(__xludf.DUMMYFUNCTION("""COMPUTED_VALUE"""),45012.66666666667)</f>
        <v>45012.66667</v>
      </c>
      <c r="B59" s="2">
        <f>IFERROR(__xludf.DUMMYFUNCTION("""COMPUTED_VALUE"""),105.32)</f>
        <v>105.32</v>
      </c>
      <c r="C59" s="2">
        <f>IFERROR(__xludf.DUMMYFUNCTION("""COMPUTED_VALUE"""),105.4)</f>
        <v>105.4</v>
      </c>
      <c r="D59" s="2">
        <f>IFERROR(__xludf.DUMMYFUNCTION("""COMPUTED_VALUE"""),102.63)</f>
        <v>102.63</v>
      </c>
      <c r="E59" s="2">
        <f>IFERROR(__xludf.DUMMYFUNCTION("""COMPUTED_VALUE"""),103.06)</f>
        <v>103.06</v>
      </c>
      <c r="F59" s="2">
        <f>IFERROR(__xludf.DUMMYFUNCTION("""COMPUTED_VALUE"""),2.5393417E7)</f>
        <v>25393417</v>
      </c>
    </row>
    <row r="60">
      <c r="A60" s="3">
        <f>IFERROR(__xludf.DUMMYFUNCTION("""COMPUTED_VALUE"""),45013.66666666667)</f>
        <v>45013.66667</v>
      </c>
      <c r="B60" s="2">
        <f>IFERROR(__xludf.DUMMYFUNCTION("""COMPUTED_VALUE"""),103.0)</f>
        <v>103</v>
      </c>
      <c r="C60" s="2">
        <f>IFERROR(__xludf.DUMMYFUNCTION("""COMPUTED_VALUE"""),103.0)</f>
        <v>103</v>
      </c>
      <c r="D60" s="2">
        <f>IFERROR(__xludf.DUMMYFUNCTION("""COMPUTED_VALUE"""),100.28)</f>
        <v>100.28</v>
      </c>
      <c r="E60" s="2">
        <f>IFERROR(__xludf.DUMMYFUNCTION("""COMPUTED_VALUE"""),101.36)</f>
        <v>101.36</v>
      </c>
      <c r="F60" s="2">
        <f>IFERROR(__xludf.DUMMYFUNCTION("""COMPUTED_VALUE"""),2.491348E7)</f>
        <v>24913480</v>
      </c>
    </row>
    <row r="61">
      <c r="A61" s="3">
        <f>IFERROR(__xludf.DUMMYFUNCTION("""COMPUTED_VALUE"""),45014.66666666667)</f>
        <v>45014.66667</v>
      </c>
      <c r="B61" s="2">
        <f>IFERROR(__xludf.DUMMYFUNCTION("""COMPUTED_VALUE"""),102.72)</f>
        <v>102.72</v>
      </c>
      <c r="C61" s="2">
        <f>IFERROR(__xludf.DUMMYFUNCTION("""COMPUTED_VALUE"""),102.82)</f>
        <v>102.82</v>
      </c>
      <c r="D61" s="2">
        <f>IFERROR(__xludf.DUMMYFUNCTION("""COMPUTED_VALUE"""),101.03)</f>
        <v>101.03</v>
      </c>
      <c r="E61" s="2">
        <f>IFERROR(__xludf.DUMMYFUNCTION("""COMPUTED_VALUE"""),101.9)</f>
        <v>101.9</v>
      </c>
      <c r="F61" s="2">
        <f>IFERROR(__xludf.DUMMYFUNCTION("""COMPUTED_VALUE"""),2.61483E7)</f>
        <v>26148300</v>
      </c>
    </row>
    <row r="62">
      <c r="A62" s="3">
        <f>IFERROR(__xludf.DUMMYFUNCTION("""COMPUTED_VALUE"""),45015.66666666667)</f>
        <v>45015.66667</v>
      </c>
      <c r="B62" s="2">
        <f>IFERROR(__xludf.DUMMYFUNCTION("""COMPUTED_VALUE"""),101.44)</f>
        <v>101.44</v>
      </c>
      <c r="C62" s="2">
        <f>IFERROR(__xludf.DUMMYFUNCTION("""COMPUTED_VALUE"""),101.61)</f>
        <v>101.61</v>
      </c>
      <c r="D62" s="2">
        <f>IFERROR(__xludf.DUMMYFUNCTION("""COMPUTED_VALUE"""),100.29)</f>
        <v>100.29</v>
      </c>
      <c r="E62" s="2">
        <f>IFERROR(__xludf.DUMMYFUNCTION("""COMPUTED_VALUE"""),101.32)</f>
        <v>101.32</v>
      </c>
      <c r="F62" s="2">
        <f>IFERROR(__xludf.DUMMYFUNCTION("""COMPUTED_VALUE"""),2.5009829E7)</f>
        <v>25009829</v>
      </c>
    </row>
    <row r="63">
      <c r="A63" s="3">
        <f>IFERROR(__xludf.DUMMYFUNCTION("""COMPUTED_VALUE"""),45016.66666666667)</f>
        <v>45016.66667</v>
      </c>
      <c r="B63" s="2">
        <f>IFERROR(__xludf.DUMMYFUNCTION("""COMPUTED_VALUE"""),101.71)</f>
        <v>101.71</v>
      </c>
      <c r="C63" s="2">
        <f>IFERROR(__xludf.DUMMYFUNCTION("""COMPUTED_VALUE"""),104.19)</f>
        <v>104.19</v>
      </c>
      <c r="D63" s="2">
        <f>IFERROR(__xludf.DUMMYFUNCTION("""COMPUTED_VALUE"""),101.44)</f>
        <v>101.44</v>
      </c>
      <c r="E63" s="2">
        <f>IFERROR(__xludf.DUMMYFUNCTION("""COMPUTED_VALUE"""),104.0)</f>
        <v>104</v>
      </c>
      <c r="F63" s="2">
        <f>IFERROR(__xludf.DUMMYFUNCTION("""COMPUTED_VALUE"""),2.8107953E7)</f>
        <v>28107953</v>
      </c>
    </row>
    <row r="64">
      <c r="A64" s="3">
        <f>IFERROR(__xludf.DUMMYFUNCTION("""COMPUTED_VALUE"""),45019.66666666667)</f>
        <v>45019.66667</v>
      </c>
      <c r="B64" s="2">
        <f>IFERROR(__xludf.DUMMYFUNCTION("""COMPUTED_VALUE"""),102.67)</f>
        <v>102.67</v>
      </c>
      <c r="C64" s="2">
        <f>IFERROR(__xludf.DUMMYFUNCTION("""COMPUTED_VALUE"""),104.95)</f>
        <v>104.95</v>
      </c>
      <c r="D64" s="2">
        <f>IFERROR(__xludf.DUMMYFUNCTION("""COMPUTED_VALUE"""),102.38)</f>
        <v>102.38</v>
      </c>
      <c r="E64" s="2">
        <f>IFERROR(__xludf.DUMMYFUNCTION("""COMPUTED_VALUE"""),104.91)</f>
        <v>104.91</v>
      </c>
      <c r="F64" s="2">
        <f>IFERROR(__xludf.DUMMYFUNCTION("""COMPUTED_VALUE"""),2.0719861E7)</f>
        <v>20719861</v>
      </c>
    </row>
    <row r="65">
      <c r="A65" s="3">
        <f>IFERROR(__xludf.DUMMYFUNCTION("""COMPUTED_VALUE"""),45020.66666666667)</f>
        <v>45020.66667</v>
      </c>
      <c r="B65" s="2">
        <f>IFERROR(__xludf.DUMMYFUNCTION("""COMPUTED_VALUE"""),104.84)</f>
        <v>104.84</v>
      </c>
      <c r="C65" s="2">
        <f>IFERROR(__xludf.DUMMYFUNCTION("""COMPUTED_VALUE"""),106.1)</f>
        <v>106.1</v>
      </c>
      <c r="D65" s="2">
        <f>IFERROR(__xludf.DUMMYFUNCTION("""COMPUTED_VALUE"""),104.6)</f>
        <v>104.6</v>
      </c>
      <c r="E65" s="2">
        <f>IFERROR(__xludf.DUMMYFUNCTION("""COMPUTED_VALUE"""),105.12)</f>
        <v>105.12</v>
      </c>
      <c r="F65" s="2">
        <f>IFERROR(__xludf.DUMMYFUNCTION("""COMPUTED_VALUE"""),2.0377231E7)</f>
        <v>20377231</v>
      </c>
    </row>
    <row r="66">
      <c r="A66" s="3">
        <f>IFERROR(__xludf.DUMMYFUNCTION("""COMPUTED_VALUE"""),45021.66666666667)</f>
        <v>45021.66667</v>
      </c>
      <c r="B66" s="2">
        <f>IFERROR(__xludf.DUMMYFUNCTION("""COMPUTED_VALUE"""),106.12)</f>
        <v>106.12</v>
      </c>
      <c r="C66" s="2">
        <f>IFERROR(__xludf.DUMMYFUNCTION("""COMPUTED_VALUE"""),106.54)</f>
        <v>106.54</v>
      </c>
      <c r="D66" s="2">
        <f>IFERROR(__xludf.DUMMYFUNCTION("""COMPUTED_VALUE"""),104.1)</f>
        <v>104.1</v>
      </c>
      <c r="E66" s="2">
        <f>IFERROR(__xludf.DUMMYFUNCTION("""COMPUTED_VALUE"""),104.95)</f>
        <v>104.95</v>
      </c>
      <c r="F66" s="2">
        <f>IFERROR(__xludf.DUMMYFUNCTION("""COMPUTED_VALUE"""),2.18642E7)</f>
        <v>21864200</v>
      </c>
    </row>
    <row r="67">
      <c r="A67" s="3">
        <f>IFERROR(__xludf.DUMMYFUNCTION("""COMPUTED_VALUE"""),45022.66666666667)</f>
        <v>45022.66667</v>
      </c>
      <c r="B67" s="2">
        <f>IFERROR(__xludf.DUMMYFUNCTION("""COMPUTED_VALUE"""),105.77)</f>
        <v>105.77</v>
      </c>
      <c r="C67" s="2">
        <f>IFERROR(__xludf.DUMMYFUNCTION("""COMPUTED_VALUE"""),109.63)</f>
        <v>109.63</v>
      </c>
      <c r="D67" s="2">
        <f>IFERROR(__xludf.DUMMYFUNCTION("""COMPUTED_VALUE"""),104.82)</f>
        <v>104.82</v>
      </c>
      <c r="E67" s="2">
        <f>IFERROR(__xludf.DUMMYFUNCTION("""COMPUTED_VALUE"""),108.9)</f>
        <v>108.9</v>
      </c>
      <c r="F67" s="2">
        <f>IFERROR(__xludf.DUMMYFUNCTION("""COMPUTED_VALUE"""),3.468415E7)</f>
        <v>34684150</v>
      </c>
    </row>
    <row r="68">
      <c r="A68" s="3">
        <f>IFERROR(__xludf.DUMMYFUNCTION("""COMPUTED_VALUE"""),45026.66666666667)</f>
        <v>45026.66667</v>
      </c>
      <c r="B68" s="2">
        <f>IFERROR(__xludf.DUMMYFUNCTION("""COMPUTED_VALUE"""),107.39)</f>
        <v>107.39</v>
      </c>
      <c r="C68" s="2">
        <f>IFERROR(__xludf.DUMMYFUNCTION("""COMPUTED_VALUE"""),107.97)</f>
        <v>107.97</v>
      </c>
      <c r="D68" s="2">
        <f>IFERROR(__xludf.DUMMYFUNCTION("""COMPUTED_VALUE"""),105.6)</f>
        <v>105.6</v>
      </c>
      <c r="E68" s="2">
        <f>IFERROR(__xludf.DUMMYFUNCTION("""COMPUTED_VALUE"""),106.95)</f>
        <v>106.95</v>
      </c>
      <c r="F68" s="2">
        <f>IFERROR(__xludf.DUMMYFUNCTION("""COMPUTED_VALUE"""),1.9741517E7)</f>
        <v>19741517</v>
      </c>
    </row>
    <row r="69">
      <c r="A69" s="3">
        <f>IFERROR(__xludf.DUMMYFUNCTION("""COMPUTED_VALUE"""),45027.66666666667)</f>
        <v>45027.66667</v>
      </c>
      <c r="B69" s="2">
        <f>IFERROR(__xludf.DUMMYFUNCTION("""COMPUTED_VALUE"""),106.92)</f>
        <v>106.92</v>
      </c>
      <c r="C69" s="2">
        <f>IFERROR(__xludf.DUMMYFUNCTION("""COMPUTED_VALUE"""),107.22)</f>
        <v>107.22</v>
      </c>
      <c r="D69" s="2">
        <f>IFERROR(__xludf.DUMMYFUNCTION("""COMPUTED_VALUE"""),105.28)</f>
        <v>105.28</v>
      </c>
      <c r="E69" s="2">
        <f>IFERROR(__xludf.DUMMYFUNCTION("""COMPUTED_VALUE"""),106.12)</f>
        <v>106.12</v>
      </c>
      <c r="F69" s="2">
        <f>IFERROR(__xludf.DUMMYFUNCTION("""COMPUTED_VALUE"""),1.8721278E7)</f>
        <v>18721278</v>
      </c>
    </row>
    <row r="70">
      <c r="A70" s="3">
        <f>IFERROR(__xludf.DUMMYFUNCTION("""COMPUTED_VALUE"""),45028.66666666667)</f>
        <v>45028.66667</v>
      </c>
      <c r="B70" s="2">
        <f>IFERROR(__xludf.DUMMYFUNCTION("""COMPUTED_VALUE"""),107.39)</f>
        <v>107.39</v>
      </c>
      <c r="C70" s="2">
        <f>IFERROR(__xludf.DUMMYFUNCTION("""COMPUTED_VALUE"""),107.59)</f>
        <v>107.59</v>
      </c>
      <c r="D70" s="2">
        <f>IFERROR(__xludf.DUMMYFUNCTION("""COMPUTED_VALUE"""),104.97)</f>
        <v>104.97</v>
      </c>
      <c r="E70" s="2">
        <f>IFERROR(__xludf.DUMMYFUNCTION("""COMPUTED_VALUE"""),105.22)</f>
        <v>105.22</v>
      </c>
      <c r="F70" s="2">
        <f>IFERROR(__xludf.DUMMYFUNCTION("""COMPUTED_VALUE"""),2.2761569E7)</f>
        <v>22761569</v>
      </c>
    </row>
    <row r="71">
      <c r="A71" s="3">
        <f>IFERROR(__xludf.DUMMYFUNCTION("""COMPUTED_VALUE"""),45029.66666666667)</f>
        <v>45029.66667</v>
      </c>
      <c r="B71" s="2">
        <f>IFERROR(__xludf.DUMMYFUNCTION("""COMPUTED_VALUE"""),106.47)</f>
        <v>106.47</v>
      </c>
      <c r="C71" s="2">
        <f>IFERROR(__xludf.DUMMYFUNCTION("""COMPUTED_VALUE"""),108.27)</f>
        <v>108.27</v>
      </c>
      <c r="D71" s="2">
        <f>IFERROR(__xludf.DUMMYFUNCTION("""COMPUTED_VALUE"""),106.44)</f>
        <v>106.44</v>
      </c>
      <c r="E71" s="2">
        <f>IFERROR(__xludf.DUMMYFUNCTION("""COMPUTED_VALUE"""),108.19)</f>
        <v>108.19</v>
      </c>
      <c r="F71" s="2">
        <f>IFERROR(__xludf.DUMMYFUNCTION("""COMPUTED_VALUE"""),2.1650747E7)</f>
        <v>21650747</v>
      </c>
    </row>
    <row r="72">
      <c r="A72" s="3">
        <f>IFERROR(__xludf.DUMMYFUNCTION("""COMPUTED_VALUE"""),45030.66666666667)</f>
        <v>45030.66667</v>
      </c>
      <c r="B72" s="2">
        <f>IFERROR(__xludf.DUMMYFUNCTION("""COMPUTED_VALUE"""),107.69)</f>
        <v>107.69</v>
      </c>
      <c r="C72" s="2">
        <f>IFERROR(__xludf.DUMMYFUNCTION("""COMPUTED_VALUE"""),109.58)</f>
        <v>109.58</v>
      </c>
      <c r="D72" s="2">
        <f>IFERROR(__xludf.DUMMYFUNCTION("""COMPUTED_VALUE"""),107.59)</f>
        <v>107.59</v>
      </c>
      <c r="E72" s="2">
        <f>IFERROR(__xludf.DUMMYFUNCTION("""COMPUTED_VALUE"""),109.46)</f>
        <v>109.46</v>
      </c>
      <c r="F72" s="2">
        <f>IFERROR(__xludf.DUMMYFUNCTION("""COMPUTED_VALUE"""),2.0758686E7)</f>
        <v>20758686</v>
      </c>
    </row>
    <row r="73">
      <c r="A73" s="3">
        <f>IFERROR(__xludf.DUMMYFUNCTION("""COMPUTED_VALUE"""),45033.66666666667)</f>
        <v>45033.66667</v>
      </c>
      <c r="B73" s="2">
        <f>IFERROR(__xludf.DUMMYFUNCTION("""COMPUTED_VALUE"""),105.43)</f>
        <v>105.43</v>
      </c>
      <c r="C73" s="2">
        <f>IFERROR(__xludf.DUMMYFUNCTION("""COMPUTED_VALUE"""),106.71)</f>
        <v>106.71</v>
      </c>
      <c r="D73" s="2">
        <f>IFERROR(__xludf.DUMMYFUNCTION("""COMPUTED_VALUE"""),105.32)</f>
        <v>105.32</v>
      </c>
      <c r="E73" s="2">
        <f>IFERROR(__xludf.DUMMYFUNCTION("""COMPUTED_VALUE"""),106.42)</f>
        <v>106.42</v>
      </c>
      <c r="F73" s="2">
        <f>IFERROR(__xludf.DUMMYFUNCTION("""COMPUTED_VALUE"""),2.9043443E7)</f>
        <v>29043443</v>
      </c>
    </row>
    <row r="74">
      <c r="A74" s="3">
        <f>IFERROR(__xludf.DUMMYFUNCTION("""COMPUTED_VALUE"""),45034.66666666667)</f>
        <v>45034.66667</v>
      </c>
      <c r="B74" s="2">
        <f>IFERROR(__xludf.DUMMYFUNCTION("""COMPUTED_VALUE"""),107.0)</f>
        <v>107</v>
      </c>
      <c r="C74" s="2">
        <f>IFERROR(__xludf.DUMMYFUNCTION("""COMPUTED_VALUE"""),107.05)</f>
        <v>107.05</v>
      </c>
      <c r="D74" s="2">
        <f>IFERROR(__xludf.DUMMYFUNCTION("""COMPUTED_VALUE"""),104.78)</f>
        <v>104.78</v>
      </c>
      <c r="E74" s="2">
        <f>IFERROR(__xludf.DUMMYFUNCTION("""COMPUTED_VALUE"""),105.12)</f>
        <v>105.12</v>
      </c>
      <c r="F74" s="2">
        <f>IFERROR(__xludf.DUMMYFUNCTION("""COMPUTED_VALUE"""),1.7641369E7)</f>
        <v>17641369</v>
      </c>
    </row>
    <row r="75">
      <c r="A75" s="3">
        <f>IFERROR(__xludf.DUMMYFUNCTION("""COMPUTED_VALUE"""),45035.66666666667)</f>
        <v>45035.66667</v>
      </c>
      <c r="B75" s="2">
        <f>IFERROR(__xludf.DUMMYFUNCTION("""COMPUTED_VALUE"""),104.22)</f>
        <v>104.22</v>
      </c>
      <c r="C75" s="2">
        <f>IFERROR(__xludf.DUMMYFUNCTION("""COMPUTED_VALUE"""),105.73)</f>
        <v>105.73</v>
      </c>
      <c r="D75" s="2">
        <f>IFERROR(__xludf.DUMMYFUNCTION("""COMPUTED_VALUE"""),103.8)</f>
        <v>103.8</v>
      </c>
      <c r="E75" s="2">
        <f>IFERROR(__xludf.DUMMYFUNCTION("""COMPUTED_VALUE"""),105.02)</f>
        <v>105.02</v>
      </c>
      <c r="F75" s="2">
        <f>IFERROR(__xludf.DUMMYFUNCTION("""COMPUTED_VALUE"""),1.6732016E7)</f>
        <v>16732016</v>
      </c>
    </row>
    <row r="76">
      <c r="A76" s="3">
        <f>IFERROR(__xludf.DUMMYFUNCTION("""COMPUTED_VALUE"""),45036.66666666667)</f>
        <v>45036.66667</v>
      </c>
      <c r="B76" s="2">
        <f>IFERROR(__xludf.DUMMYFUNCTION("""COMPUTED_VALUE"""),104.65)</f>
        <v>104.65</v>
      </c>
      <c r="C76" s="2">
        <f>IFERROR(__xludf.DUMMYFUNCTION("""COMPUTED_VALUE"""),106.89)</f>
        <v>106.89</v>
      </c>
      <c r="D76" s="2">
        <f>IFERROR(__xludf.DUMMYFUNCTION("""COMPUTED_VALUE"""),104.64)</f>
        <v>104.64</v>
      </c>
      <c r="E76" s="2">
        <f>IFERROR(__xludf.DUMMYFUNCTION("""COMPUTED_VALUE"""),105.9)</f>
        <v>105.9</v>
      </c>
      <c r="F76" s="2">
        <f>IFERROR(__xludf.DUMMYFUNCTION("""COMPUTED_VALUE"""),2.2515331E7)</f>
        <v>22515331</v>
      </c>
    </row>
    <row r="77">
      <c r="A77" s="3">
        <f>IFERROR(__xludf.DUMMYFUNCTION("""COMPUTED_VALUE"""),45037.66666666667)</f>
        <v>45037.66667</v>
      </c>
      <c r="B77" s="2">
        <f>IFERROR(__xludf.DUMMYFUNCTION("""COMPUTED_VALUE"""),106.09)</f>
        <v>106.09</v>
      </c>
      <c r="C77" s="2">
        <f>IFERROR(__xludf.DUMMYFUNCTION("""COMPUTED_VALUE"""),106.64)</f>
        <v>106.64</v>
      </c>
      <c r="D77" s="2">
        <f>IFERROR(__xludf.DUMMYFUNCTION("""COMPUTED_VALUE"""),105.49)</f>
        <v>105.49</v>
      </c>
      <c r="E77" s="2">
        <f>IFERROR(__xludf.DUMMYFUNCTION("""COMPUTED_VALUE"""),105.91)</f>
        <v>105.91</v>
      </c>
      <c r="F77" s="2">
        <f>IFERROR(__xludf.DUMMYFUNCTION("""COMPUTED_VALUE"""),2.2379018E7)</f>
        <v>22379018</v>
      </c>
    </row>
    <row r="78">
      <c r="A78" s="3">
        <f>IFERROR(__xludf.DUMMYFUNCTION("""COMPUTED_VALUE"""),45040.66666666667)</f>
        <v>45040.66667</v>
      </c>
      <c r="B78" s="2">
        <f>IFERROR(__xludf.DUMMYFUNCTION("""COMPUTED_VALUE"""),106.05)</f>
        <v>106.05</v>
      </c>
      <c r="C78" s="2">
        <f>IFERROR(__xludf.DUMMYFUNCTION("""COMPUTED_VALUE"""),107.32)</f>
        <v>107.32</v>
      </c>
      <c r="D78" s="2">
        <f>IFERROR(__xludf.DUMMYFUNCTION("""COMPUTED_VALUE"""),105.36)</f>
        <v>105.36</v>
      </c>
      <c r="E78" s="2">
        <f>IFERROR(__xludf.DUMMYFUNCTION("""COMPUTED_VALUE"""),106.78)</f>
        <v>106.78</v>
      </c>
      <c r="F78" s="2">
        <f>IFERROR(__xludf.DUMMYFUNCTION("""COMPUTED_VALUE"""),2.1410908E7)</f>
        <v>21410908</v>
      </c>
    </row>
    <row r="79">
      <c r="A79" s="3">
        <f>IFERROR(__xludf.DUMMYFUNCTION("""COMPUTED_VALUE"""),45041.66666666667)</f>
        <v>45041.66667</v>
      </c>
      <c r="B79" s="2">
        <f>IFERROR(__xludf.DUMMYFUNCTION("""COMPUTED_VALUE"""),106.61)</f>
        <v>106.61</v>
      </c>
      <c r="C79" s="2">
        <f>IFERROR(__xludf.DUMMYFUNCTION("""COMPUTED_VALUE"""),107.44)</f>
        <v>107.44</v>
      </c>
      <c r="D79" s="2">
        <f>IFERROR(__xludf.DUMMYFUNCTION("""COMPUTED_VALUE"""),104.56)</f>
        <v>104.56</v>
      </c>
      <c r="E79" s="2">
        <f>IFERROR(__xludf.DUMMYFUNCTION("""COMPUTED_VALUE"""),104.61)</f>
        <v>104.61</v>
      </c>
      <c r="F79" s="2">
        <f>IFERROR(__xludf.DUMMYFUNCTION("""COMPUTED_VALUE"""),3.1408119E7)</f>
        <v>31408119</v>
      </c>
    </row>
    <row r="80">
      <c r="A80" s="3">
        <f>IFERROR(__xludf.DUMMYFUNCTION("""COMPUTED_VALUE"""),45042.66666666667)</f>
        <v>45042.66667</v>
      </c>
      <c r="B80" s="2">
        <f>IFERROR(__xludf.DUMMYFUNCTION("""COMPUTED_VALUE"""),105.56)</f>
        <v>105.56</v>
      </c>
      <c r="C80" s="2">
        <f>IFERROR(__xludf.DUMMYFUNCTION("""COMPUTED_VALUE"""),107.02)</f>
        <v>107.02</v>
      </c>
      <c r="D80" s="2">
        <f>IFERROR(__xludf.DUMMYFUNCTION("""COMPUTED_VALUE"""),103.27)</f>
        <v>103.27</v>
      </c>
      <c r="E80" s="2">
        <f>IFERROR(__xludf.DUMMYFUNCTION("""COMPUTED_VALUE"""),104.45)</f>
        <v>104.45</v>
      </c>
      <c r="F80" s="2">
        <f>IFERROR(__xludf.DUMMYFUNCTION("""COMPUTED_VALUE"""),3.7068168E7)</f>
        <v>37068168</v>
      </c>
    </row>
    <row r="81">
      <c r="A81" s="3">
        <f>IFERROR(__xludf.DUMMYFUNCTION("""COMPUTED_VALUE"""),45043.66666666667)</f>
        <v>45043.66667</v>
      </c>
      <c r="B81" s="2">
        <f>IFERROR(__xludf.DUMMYFUNCTION("""COMPUTED_VALUE"""),105.23)</f>
        <v>105.23</v>
      </c>
      <c r="C81" s="2">
        <f>IFERROR(__xludf.DUMMYFUNCTION("""COMPUTED_VALUE"""),109.15)</f>
        <v>109.15</v>
      </c>
      <c r="D81" s="2">
        <f>IFERROR(__xludf.DUMMYFUNCTION("""COMPUTED_VALUE"""),104.42)</f>
        <v>104.42</v>
      </c>
      <c r="E81" s="2">
        <f>IFERROR(__xludf.DUMMYFUNCTION("""COMPUTED_VALUE"""),108.37)</f>
        <v>108.37</v>
      </c>
      <c r="F81" s="2">
        <f>IFERROR(__xludf.DUMMYFUNCTION("""COMPUTED_VALUE"""),3.823522E7)</f>
        <v>38235220</v>
      </c>
    </row>
    <row r="82">
      <c r="A82" s="3">
        <f>IFERROR(__xludf.DUMMYFUNCTION("""COMPUTED_VALUE"""),45044.66666666667)</f>
        <v>45044.66667</v>
      </c>
      <c r="B82" s="2">
        <f>IFERROR(__xludf.DUMMYFUNCTION("""COMPUTED_VALUE"""),107.8)</f>
        <v>107.8</v>
      </c>
      <c r="C82" s="2">
        <f>IFERROR(__xludf.DUMMYFUNCTION("""COMPUTED_VALUE"""),108.29)</f>
        <v>108.29</v>
      </c>
      <c r="D82" s="2">
        <f>IFERROR(__xludf.DUMMYFUNCTION("""COMPUTED_VALUE"""),106.04)</f>
        <v>106.04</v>
      </c>
      <c r="E82" s="2">
        <f>IFERROR(__xludf.DUMMYFUNCTION("""COMPUTED_VALUE"""),108.22)</f>
        <v>108.22</v>
      </c>
      <c r="F82" s="2">
        <f>IFERROR(__xludf.DUMMYFUNCTION("""COMPUTED_VALUE"""),2.3957872E7)</f>
        <v>23957872</v>
      </c>
    </row>
    <row r="83">
      <c r="A83" s="3">
        <f>IFERROR(__xludf.DUMMYFUNCTION("""COMPUTED_VALUE"""),45047.66666666667)</f>
        <v>45047.66667</v>
      </c>
      <c r="B83" s="2">
        <f>IFERROR(__xludf.DUMMYFUNCTION("""COMPUTED_VALUE"""),107.72)</f>
        <v>107.72</v>
      </c>
      <c r="C83" s="2">
        <f>IFERROR(__xludf.DUMMYFUNCTION("""COMPUTED_VALUE"""),108.68)</f>
        <v>108.68</v>
      </c>
      <c r="D83" s="2">
        <f>IFERROR(__xludf.DUMMYFUNCTION("""COMPUTED_VALUE"""),107.5)</f>
        <v>107.5</v>
      </c>
      <c r="E83" s="2">
        <f>IFERROR(__xludf.DUMMYFUNCTION("""COMPUTED_VALUE"""),107.71)</f>
        <v>107.71</v>
      </c>
      <c r="F83" s="2">
        <f>IFERROR(__xludf.DUMMYFUNCTION("""COMPUTED_VALUE"""),2.0926259E7)</f>
        <v>20926259</v>
      </c>
    </row>
    <row r="84">
      <c r="A84" s="3">
        <f>IFERROR(__xludf.DUMMYFUNCTION("""COMPUTED_VALUE"""),45048.66666666667)</f>
        <v>45048.66667</v>
      </c>
      <c r="B84" s="2">
        <f>IFERROR(__xludf.DUMMYFUNCTION("""COMPUTED_VALUE"""),107.66)</f>
        <v>107.66</v>
      </c>
      <c r="C84" s="2">
        <f>IFERROR(__xludf.DUMMYFUNCTION("""COMPUTED_VALUE"""),107.73)</f>
        <v>107.73</v>
      </c>
      <c r="D84" s="2">
        <f>IFERROR(__xludf.DUMMYFUNCTION("""COMPUTED_VALUE"""),104.5)</f>
        <v>104.5</v>
      </c>
      <c r="E84" s="2">
        <f>IFERROR(__xludf.DUMMYFUNCTION("""COMPUTED_VALUE"""),105.98)</f>
        <v>105.98</v>
      </c>
      <c r="F84" s="2">
        <f>IFERROR(__xludf.DUMMYFUNCTION("""COMPUTED_VALUE"""),2.0343116E7)</f>
        <v>20343116</v>
      </c>
    </row>
    <row r="85">
      <c r="A85" s="3">
        <f>IFERROR(__xludf.DUMMYFUNCTION("""COMPUTED_VALUE"""),45049.66666666667)</f>
        <v>45049.66667</v>
      </c>
      <c r="B85" s="2">
        <f>IFERROR(__xludf.DUMMYFUNCTION("""COMPUTED_VALUE"""),106.22)</f>
        <v>106.22</v>
      </c>
      <c r="C85" s="2">
        <f>IFERROR(__xludf.DUMMYFUNCTION("""COMPUTED_VALUE"""),108.13)</f>
        <v>108.13</v>
      </c>
      <c r="D85" s="2">
        <f>IFERROR(__xludf.DUMMYFUNCTION("""COMPUTED_VALUE"""),105.62)</f>
        <v>105.62</v>
      </c>
      <c r="E85" s="2">
        <f>IFERROR(__xludf.DUMMYFUNCTION("""COMPUTED_VALUE"""),106.12)</f>
        <v>106.12</v>
      </c>
      <c r="F85" s="2">
        <f>IFERROR(__xludf.DUMMYFUNCTION("""COMPUTED_VALUE"""),1.7116333E7)</f>
        <v>17116333</v>
      </c>
    </row>
    <row r="86">
      <c r="A86" s="3">
        <f>IFERROR(__xludf.DUMMYFUNCTION("""COMPUTED_VALUE"""),45050.66666666667)</f>
        <v>45050.66667</v>
      </c>
      <c r="B86" s="2">
        <f>IFERROR(__xludf.DUMMYFUNCTION("""COMPUTED_VALUE"""),106.16)</f>
        <v>106.16</v>
      </c>
      <c r="C86" s="2">
        <f>IFERROR(__xludf.DUMMYFUNCTION("""COMPUTED_VALUE"""),106.3)</f>
        <v>106.3</v>
      </c>
      <c r="D86" s="2">
        <f>IFERROR(__xludf.DUMMYFUNCTION("""COMPUTED_VALUE"""),104.7)</f>
        <v>104.7</v>
      </c>
      <c r="E86" s="2">
        <f>IFERROR(__xludf.DUMMYFUNCTION("""COMPUTED_VALUE"""),105.21)</f>
        <v>105.21</v>
      </c>
      <c r="F86" s="2">
        <f>IFERROR(__xludf.DUMMYFUNCTION("""COMPUTED_VALUE"""),1.9780637E7)</f>
        <v>19780637</v>
      </c>
    </row>
    <row r="87">
      <c r="A87" s="3">
        <f>IFERROR(__xludf.DUMMYFUNCTION("""COMPUTED_VALUE"""),45051.66666666667)</f>
        <v>45051.66667</v>
      </c>
      <c r="B87" s="2">
        <f>IFERROR(__xludf.DUMMYFUNCTION("""COMPUTED_VALUE"""),105.32)</f>
        <v>105.32</v>
      </c>
      <c r="C87" s="2">
        <f>IFERROR(__xludf.DUMMYFUNCTION("""COMPUTED_VALUE"""),106.44)</f>
        <v>106.44</v>
      </c>
      <c r="D87" s="2">
        <f>IFERROR(__xludf.DUMMYFUNCTION("""COMPUTED_VALUE"""),104.74)</f>
        <v>104.74</v>
      </c>
      <c r="E87" s="2">
        <f>IFERROR(__xludf.DUMMYFUNCTION("""COMPUTED_VALUE"""),106.22)</f>
        <v>106.22</v>
      </c>
      <c r="F87" s="2">
        <f>IFERROR(__xludf.DUMMYFUNCTION("""COMPUTED_VALUE"""),2.0710627E7)</f>
        <v>20710627</v>
      </c>
    </row>
    <row r="88">
      <c r="A88" s="3">
        <f>IFERROR(__xludf.DUMMYFUNCTION("""COMPUTED_VALUE"""),45054.66666666667)</f>
        <v>45054.66667</v>
      </c>
      <c r="B88" s="2">
        <f>IFERROR(__xludf.DUMMYFUNCTION("""COMPUTED_VALUE"""),105.8)</f>
        <v>105.8</v>
      </c>
      <c r="C88" s="2">
        <f>IFERROR(__xludf.DUMMYFUNCTION("""COMPUTED_VALUE"""),108.42)</f>
        <v>108.42</v>
      </c>
      <c r="D88" s="2">
        <f>IFERROR(__xludf.DUMMYFUNCTION("""COMPUTED_VALUE"""),105.79)</f>
        <v>105.79</v>
      </c>
      <c r="E88" s="2">
        <f>IFERROR(__xludf.DUMMYFUNCTION("""COMPUTED_VALUE"""),108.24)</f>
        <v>108.24</v>
      </c>
      <c r="F88" s="2">
        <f>IFERROR(__xludf.DUMMYFUNCTION("""COMPUTED_VALUE"""),1.7266021E7)</f>
        <v>17266021</v>
      </c>
    </row>
    <row r="89">
      <c r="A89" s="3">
        <f>IFERROR(__xludf.DUMMYFUNCTION("""COMPUTED_VALUE"""),45055.66666666667)</f>
        <v>45055.66667</v>
      </c>
      <c r="B89" s="2">
        <f>IFERROR(__xludf.DUMMYFUNCTION("""COMPUTED_VALUE"""),108.78)</f>
        <v>108.78</v>
      </c>
      <c r="C89" s="2">
        <f>IFERROR(__xludf.DUMMYFUNCTION("""COMPUTED_VALUE"""),110.6)</f>
        <v>110.6</v>
      </c>
      <c r="D89" s="2">
        <f>IFERROR(__xludf.DUMMYFUNCTION("""COMPUTED_VALUE"""),107.73)</f>
        <v>107.73</v>
      </c>
      <c r="E89" s="2">
        <f>IFERROR(__xludf.DUMMYFUNCTION("""COMPUTED_VALUE"""),107.94)</f>
        <v>107.94</v>
      </c>
      <c r="F89" s="2">
        <f>IFERROR(__xludf.DUMMYFUNCTION("""COMPUTED_VALUE"""),2.4782442E7)</f>
        <v>24782442</v>
      </c>
    </row>
    <row r="90">
      <c r="A90" s="3">
        <f>IFERROR(__xludf.DUMMYFUNCTION("""COMPUTED_VALUE"""),45056.66666666667)</f>
        <v>45056.66667</v>
      </c>
      <c r="B90" s="2">
        <f>IFERROR(__xludf.DUMMYFUNCTION("""COMPUTED_VALUE"""),108.55)</f>
        <v>108.55</v>
      </c>
      <c r="C90" s="2">
        <f>IFERROR(__xludf.DUMMYFUNCTION("""COMPUTED_VALUE"""),113.51)</f>
        <v>113.51</v>
      </c>
      <c r="D90" s="2">
        <f>IFERROR(__xludf.DUMMYFUNCTION("""COMPUTED_VALUE"""),108.48)</f>
        <v>108.48</v>
      </c>
      <c r="E90" s="2">
        <f>IFERROR(__xludf.DUMMYFUNCTION("""COMPUTED_VALUE"""),112.28)</f>
        <v>112.28</v>
      </c>
      <c r="F90" s="2">
        <f>IFERROR(__xludf.DUMMYFUNCTION("""COMPUTED_VALUE"""),4.7533463E7)</f>
        <v>47533463</v>
      </c>
    </row>
    <row r="91">
      <c r="A91" s="3">
        <f>IFERROR(__xludf.DUMMYFUNCTION("""COMPUTED_VALUE"""),45057.66666666667)</f>
        <v>45057.66667</v>
      </c>
      <c r="B91" s="2">
        <f>IFERROR(__xludf.DUMMYFUNCTION("""COMPUTED_VALUE"""),115.86)</f>
        <v>115.86</v>
      </c>
      <c r="C91" s="2">
        <f>IFERROR(__xludf.DUMMYFUNCTION("""COMPUTED_VALUE"""),118.44)</f>
        <v>118.44</v>
      </c>
      <c r="D91" s="2">
        <f>IFERROR(__xludf.DUMMYFUNCTION("""COMPUTED_VALUE"""),114.93)</f>
        <v>114.93</v>
      </c>
      <c r="E91" s="2">
        <f>IFERROR(__xludf.DUMMYFUNCTION("""COMPUTED_VALUE"""),116.9)</f>
        <v>116.9</v>
      </c>
      <c r="F91" s="2">
        <f>IFERROR(__xludf.DUMMYFUNCTION("""COMPUTED_VALUE"""),5.7115075E7)</f>
        <v>57115075</v>
      </c>
    </row>
    <row r="92">
      <c r="A92" s="3">
        <f>IFERROR(__xludf.DUMMYFUNCTION("""COMPUTED_VALUE"""),45058.66666666667)</f>
        <v>45058.66667</v>
      </c>
      <c r="B92" s="2">
        <f>IFERROR(__xludf.DUMMYFUNCTION("""COMPUTED_VALUE"""),117.0)</f>
        <v>117</v>
      </c>
      <c r="C92" s="2">
        <f>IFERROR(__xludf.DUMMYFUNCTION("""COMPUTED_VALUE"""),118.26)</f>
        <v>118.26</v>
      </c>
      <c r="D92" s="2">
        <f>IFERROR(__xludf.DUMMYFUNCTION("""COMPUTED_VALUE"""),116.55)</f>
        <v>116.55</v>
      </c>
      <c r="E92" s="2">
        <f>IFERROR(__xludf.DUMMYFUNCTION("""COMPUTED_VALUE"""),117.92)</f>
        <v>117.92</v>
      </c>
      <c r="F92" s="2">
        <f>IFERROR(__xludf.DUMMYFUNCTION("""COMPUTED_VALUE"""),3.1293778E7)</f>
        <v>31293778</v>
      </c>
    </row>
    <row r="93">
      <c r="A93" s="3">
        <f>IFERROR(__xludf.DUMMYFUNCTION("""COMPUTED_VALUE"""),45061.66666666667)</f>
        <v>45061.66667</v>
      </c>
      <c r="B93" s="2">
        <f>IFERROR(__xludf.DUMMYFUNCTION("""COMPUTED_VALUE"""),116.49)</f>
        <v>116.49</v>
      </c>
      <c r="C93" s="2">
        <f>IFERROR(__xludf.DUMMYFUNCTION("""COMPUTED_VALUE"""),118.8)</f>
        <v>118.8</v>
      </c>
      <c r="D93" s="2">
        <f>IFERROR(__xludf.DUMMYFUNCTION("""COMPUTED_VALUE"""),116.48)</f>
        <v>116.48</v>
      </c>
      <c r="E93" s="2">
        <f>IFERROR(__xludf.DUMMYFUNCTION("""COMPUTED_VALUE"""),116.96)</f>
        <v>116.96</v>
      </c>
      <c r="F93" s="2">
        <f>IFERROR(__xludf.DUMMYFUNCTION("""COMPUTED_VALUE"""),2.2107865E7)</f>
        <v>22107865</v>
      </c>
    </row>
    <row r="94">
      <c r="A94" s="3">
        <f>IFERROR(__xludf.DUMMYFUNCTION("""COMPUTED_VALUE"""),45062.66666666667)</f>
        <v>45062.66667</v>
      </c>
      <c r="B94" s="2">
        <f>IFERROR(__xludf.DUMMYFUNCTION("""COMPUTED_VALUE"""),116.83)</f>
        <v>116.83</v>
      </c>
      <c r="C94" s="2">
        <f>IFERROR(__xludf.DUMMYFUNCTION("""COMPUTED_VALUE"""),121.2)</f>
        <v>121.2</v>
      </c>
      <c r="D94" s="2">
        <f>IFERROR(__xludf.DUMMYFUNCTION("""COMPUTED_VALUE"""),116.83)</f>
        <v>116.83</v>
      </c>
      <c r="E94" s="2">
        <f>IFERROR(__xludf.DUMMYFUNCTION("""COMPUTED_VALUE"""),120.09)</f>
        <v>120.09</v>
      </c>
      <c r="F94" s="2">
        <f>IFERROR(__xludf.DUMMYFUNCTION("""COMPUTED_VALUE"""),3.2370113E7)</f>
        <v>32370113</v>
      </c>
    </row>
    <row r="95">
      <c r="A95" s="3">
        <f>IFERROR(__xludf.DUMMYFUNCTION("""COMPUTED_VALUE"""),45063.66666666667)</f>
        <v>45063.66667</v>
      </c>
      <c r="B95" s="2">
        <f>IFERROR(__xludf.DUMMYFUNCTION("""COMPUTED_VALUE"""),120.18)</f>
        <v>120.18</v>
      </c>
      <c r="C95" s="2">
        <f>IFERROR(__xludf.DUMMYFUNCTION("""COMPUTED_VALUE"""),122.28)</f>
        <v>122.28</v>
      </c>
      <c r="D95" s="2">
        <f>IFERROR(__xludf.DUMMYFUNCTION("""COMPUTED_VALUE"""),119.46)</f>
        <v>119.46</v>
      </c>
      <c r="E95" s="2">
        <f>IFERROR(__xludf.DUMMYFUNCTION("""COMPUTED_VALUE"""),121.48)</f>
        <v>121.48</v>
      </c>
      <c r="F95" s="2">
        <f>IFERROR(__xludf.DUMMYFUNCTION("""COMPUTED_VALUE"""),2.6659564E7)</f>
        <v>26659564</v>
      </c>
    </row>
    <row r="96">
      <c r="A96" s="3">
        <f>IFERROR(__xludf.DUMMYFUNCTION("""COMPUTED_VALUE"""),45064.66666666667)</f>
        <v>45064.66667</v>
      </c>
      <c r="B96" s="2">
        <f>IFERROR(__xludf.DUMMYFUNCTION("""COMPUTED_VALUE"""),121.56)</f>
        <v>121.56</v>
      </c>
      <c r="C96" s="2">
        <f>IFERROR(__xludf.DUMMYFUNCTION("""COMPUTED_VALUE"""),123.9)</f>
        <v>123.9</v>
      </c>
      <c r="D96" s="2">
        <f>IFERROR(__xludf.DUMMYFUNCTION("""COMPUTED_VALUE"""),121.49)</f>
        <v>121.49</v>
      </c>
      <c r="E96" s="2">
        <f>IFERROR(__xludf.DUMMYFUNCTION("""COMPUTED_VALUE"""),123.52)</f>
        <v>123.52</v>
      </c>
      <c r="F96" s="2">
        <f>IFERROR(__xludf.DUMMYFUNCTION("""COMPUTED_VALUE"""),2.7014468E7)</f>
        <v>27014468</v>
      </c>
    </row>
    <row r="97">
      <c r="A97" s="3">
        <f>IFERROR(__xludf.DUMMYFUNCTION("""COMPUTED_VALUE"""),45065.66666666667)</f>
        <v>45065.66667</v>
      </c>
      <c r="B97" s="2">
        <f>IFERROR(__xludf.DUMMYFUNCTION("""COMPUTED_VALUE"""),124.2)</f>
        <v>124.2</v>
      </c>
      <c r="C97" s="2">
        <f>IFERROR(__xludf.DUMMYFUNCTION("""COMPUTED_VALUE"""),126.48)</f>
        <v>126.48</v>
      </c>
      <c r="D97" s="2">
        <f>IFERROR(__xludf.DUMMYFUNCTION("""COMPUTED_VALUE"""),122.72)</f>
        <v>122.72</v>
      </c>
      <c r="E97" s="2">
        <f>IFERROR(__xludf.DUMMYFUNCTION("""COMPUTED_VALUE"""),123.25)</f>
        <v>123.25</v>
      </c>
      <c r="F97" s="2">
        <f>IFERROR(__xludf.DUMMYFUNCTION("""COMPUTED_VALUE"""),3.0268864E7)</f>
        <v>30268864</v>
      </c>
    </row>
    <row r="98">
      <c r="A98" s="3">
        <f>IFERROR(__xludf.DUMMYFUNCTION("""COMPUTED_VALUE"""),45068.66666666667)</f>
        <v>45068.66667</v>
      </c>
      <c r="B98" s="2">
        <f>IFERROR(__xludf.DUMMYFUNCTION("""COMPUTED_VALUE"""),123.51)</f>
        <v>123.51</v>
      </c>
      <c r="C98" s="2">
        <f>IFERROR(__xludf.DUMMYFUNCTION("""COMPUTED_VALUE"""),127.05)</f>
        <v>127.05</v>
      </c>
      <c r="D98" s="2">
        <f>IFERROR(__xludf.DUMMYFUNCTION("""COMPUTED_VALUE"""),123.45)</f>
        <v>123.45</v>
      </c>
      <c r="E98" s="2">
        <f>IFERROR(__xludf.DUMMYFUNCTION("""COMPUTED_VALUE"""),125.87)</f>
        <v>125.87</v>
      </c>
      <c r="F98" s="2">
        <f>IFERROR(__xludf.DUMMYFUNCTION("""COMPUTED_VALUE"""),2.9760236E7)</f>
        <v>29760236</v>
      </c>
    </row>
    <row r="99">
      <c r="A99" s="3">
        <f>IFERROR(__xludf.DUMMYFUNCTION("""COMPUTED_VALUE"""),45069.66666666667)</f>
        <v>45069.66667</v>
      </c>
      <c r="B99" s="2">
        <f>IFERROR(__xludf.DUMMYFUNCTION("""COMPUTED_VALUE"""),124.93)</f>
        <v>124.93</v>
      </c>
      <c r="C99" s="2">
        <f>IFERROR(__xludf.DUMMYFUNCTION("""COMPUTED_VALUE"""),125.42)</f>
        <v>125.42</v>
      </c>
      <c r="D99" s="2">
        <f>IFERROR(__xludf.DUMMYFUNCTION("""COMPUTED_VALUE"""),123.05)</f>
        <v>123.05</v>
      </c>
      <c r="E99" s="2">
        <f>IFERROR(__xludf.DUMMYFUNCTION("""COMPUTED_VALUE"""),123.29)</f>
        <v>123.29</v>
      </c>
      <c r="F99" s="2">
        <f>IFERROR(__xludf.DUMMYFUNCTION("""COMPUTED_VALUE"""),2.4477945E7)</f>
        <v>24477945</v>
      </c>
    </row>
    <row r="100">
      <c r="A100" s="3">
        <f>IFERROR(__xludf.DUMMYFUNCTION("""COMPUTED_VALUE"""),45070.66666666667)</f>
        <v>45070.66667</v>
      </c>
      <c r="B100" s="2">
        <f>IFERROR(__xludf.DUMMYFUNCTION("""COMPUTED_VALUE"""),121.88)</f>
        <v>121.88</v>
      </c>
      <c r="C100" s="2">
        <f>IFERROR(__xludf.DUMMYFUNCTION("""COMPUTED_VALUE"""),122.75)</f>
        <v>122.75</v>
      </c>
      <c r="D100" s="2">
        <f>IFERROR(__xludf.DUMMYFUNCTION("""COMPUTED_VALUE"""),120.75)</f>
        <v>120.75</v>
      </c>
      <c r="E100" s="2">
        <f>IFERROR(__xludf.DUMMYFUNCTION("""COMPUTED_VALUE"""),121.64)</f>
        <v>121.64</v>
      </c>
      <c r="F100" s="2">
        <f>IFERROR(__xludf.DUMMYFUNCTION("""COMPUTED_VALUE"""),2.3087925E7)</f>
        <v>23087925</v>
      </c>
    </row>
    <row r="101">
      <c r="A101" s="3">
        <f>IFERROR(__xludf.DUMMYFUNCTION("""COMPUTED_VALUE"""),45071.66666666667)</f>
        <v>45071.66667</v>
      </c>
      <c r="B101" s="2">
        <f>IFERROR(__xludf.DUMMYFUNCTION("""COMPUTED_VALUE"""),125.21)</f>
        <v>125.21</v>
      </c>
      <c r="C101" s="2">
        <f>IFERROR(__xludf.DUMMYFUNCTION("""COMPUTED_VALUE"""),125.98)</f>
        <v>125.98</v>
      </c>
      <c r="D101" s="2">
        <f>IFERROR(__xludf.DUMMYFUNCTION("""COMPUTED_VALUE"""),122.9)</f>
        <v>122.9</v>
      </c>
      <c r="E101" s="2">
        <f>IFERROR(__xludf.DUMMYFUNCTION("""COMPUTED_VALUE"""),124.35)</f>
        <v>124.35</v>
      </c>
      <c r="F101" s="2">
        <f>IFERROR(__xludf.DUMMYFUNCTION("""COMPUTED_VALUE"""),3.381273E7)</f>
        <v>33812730</v>
      </c>
    </row>
    <row r="102">
      <c r="A102" s="3">
        <f>IFERROR(__xludf.DUMMYFUNCTION("""COMPUTED_VALUE"""),45072.66666666667)</f>
        <v>45072.66667</v>
      </c>
      <c r="B102" s="2">
        <f>IFERROR(__xludf.DUMMYFUNCTION("""COMPUTED_VALUE"""),124.07)</f>
        <v>124.07</v>
      </c>
      <c r="C102" s="2">
        <f>IFERROR(__xludf.DUMMYFUNCTION("""COMPUTED_VALUE"""),126.0)</f>
        <v>126</v>
      </c>
      <c r="D102" s="2">
        <f>IFERROR(__xludf.DUMMYFUNCTION("""COMPUTED_VALUE"""),123.29)</f>
        <v>123.29</v>
      </c>
      <c r="E102" s="2">
        <f>IFERROR(__xludf.DUMMYFUNCTION("""COMPUTED_VALUE"""),125.43)</f>
        <v>125.43</v>
      </c>
      <c r="F102" s="2">
        <f>IFERROR(__xludf.DUMMYFUNCTION("""COMPUTED_VALUE"""),2.5169036E7)</f>
        <v>25169036</v>
      </c>
    </row>
    <row r="103">
      <c r="A103" s="3">
        <f>IFERROR(__xludf.DUMMYFUNCTION("""COMPUTED_VALUE"""),45076.66666666667)</f>
        <v>45076.66667</v>
      </c>
      <c r="B103" s="2">
        <f>IFERROR(__xludf.DUMMYFUNCTION("""COMPUTED_VALUE"""),126.29)</f>
        <v>126.29</v>
      </c>
      <c r="C103" s="2">
        <f>IFERROR(__xludf.DUMMYFUNCTION("""COMPUTED_VALUE"""),126.38)</f>
        <v>126.38</v>
      </c>
      <c r="D103" s="2">
        <f>IFERROR(__xludf.DUMMYFUNCTION("""COMPUTED_VALUE"""),122.89)</f>
        <v>122.89</v>
      </c>
      <c r="E103" s="2">
        <f>IFERROR(__xludf.DUMMYFUNCTION("""COMPUTED_VALUE"""),124.64)</f>
        <v>124.64</v>
      </c>
      <c r="F103" s="2">
        <f>IFERROR(__xludf.DUMMYFUNCTION("""COMPUTED_VALUE"""),2.7230726E7)</f>
        <v>27230726</v>
      </c>
    </row>
    <row r="104">
      <c r="A104" s="3">
        <f>IFERROR(__xludf.DUMMYFUNCTION("""COMPUTED_VALUE"""),45077.66666666667)</f>
        <v>45077.66667</v>
      </c>
      <c r="B104" s="2">
        <f>IFERROR(__xludf.DUMMYFUNCTION("""COMPUTED_VALUE"""),123.7)</f>
        <v>123.7</v>
      </c>
      <c r="C104" s="2">
        <f>IFERROR(__xludf.DUMMYFUNCTION("""COMPUTED_VALUE"""),124.9)</f>
        <v>124.9</v>
      </c>
      <c r="D104" s="2">
        <f>IFERROR(__xludf.DUMMYFUNCTION("""COMPUTED_VALUE"""),123.1)</f>
        <v>123.1</v>
      </c>
      <c r="E104" s="2">
        <f>IFERROR(__xludf.DUMMYFUNCTION("""COMPUTED_VALUE"""),123.37)</f>
        <v>123.37</v>
      </c>
      <c r="F104" s="2">
        <f>IFERROR(__xludf.DUMMYFUNCTION("""COMPUTED_VALUE"""),4.1548759E7)</f>
        <v>41548759</v>
      </c>
    </row>
    <row r="105">
      <c r="A105" s="3">
        <f>IFERROR(__xludf.DUMMYFUNCTION("""COMPUTED_VALUE"""),45078.66666666667)</f>
        <v>45078.66667</v>
      </c>
      <c r="B105" s="2">
        <f>IFERROR(__xludf.DUMMYFUNCTION("""COMPUTED_VALUE"""),123.5)</f>
        <v>123.5</v>
      </c>
      <c r="C105" s="2">
        <f>IFERROR(__xludf.DUMMYFUNCTION("""COMPUTED_VALUE"""),125.04)</f>
        <v>125.04</v>
      </c>
      <c r="D105" s="2">
        <f>IFERROR(__xludf.DUMMYFUNCTION("""COMPUTED_VALUE"""),123.3)</f>
        <v>123.3</v>
      </c>
      <c r="E105" s="2">
        <f>IFERROR(__xludf.DUMMYFUNCTION("""COMPUTED_VALUE"""),124.37)</f>
        <v>124.37</v>
      </c>
      <c r="F105" s="2">
        <f>IFERROR(__xludf.DUMMYFUNCTION("""COMPUTED_VALUE"""),2.5017674E7)</f>
        <v>25017674</v>
      </c>
    </row>
    <row r="106">
      <c r="A106" s="3">
        <f>IFERROR(__xludf.DUMMYFUNCTION("""COMPUTED_VALUE"""),45079.66666666667)</f>
        <v>45079.66667</v>
      </c>
      <c r="B106" s="2">
        <f>IFERROR(__xludf.DUMMYFUNCTION("""COMPUTED_VALUE"""),124.49)</f>
        <v>124.49</v>
      </c>
      <c r="C106" s="2">
        <f>IFERROR(__xludf.DUMMYFUNCTION("""COMPUTED_VALUE"""),126.75)</f>
        <v>126.75</v>
      </c>
      <c r="D106" s="2">
        <f>IFERROR(__xludf.DUMMYFUNCTION("""COMPUTED_VALUE"""),124.35)</f>
        <v>124.35</v>
      </c>
      <c r="E106" s="2">
        <f>IFERROR(__xludf.DUMMYFUNCTION("""COMPUTED_VALUE"""),125.23)</f>
        <v>125.23</v>
      </c>
      <c r="F106" s="2">
        <f>IFERROR(__xludf.DUMMYFUNCTION("""COMPUTED_VALUE"""),1.9367453E7)</f>
        <v>19367453</v>
      </c>
    </row>
    <row r="107">
      <c r="A107" s="3">
        <f>IFERROR(__xludf.DUMMYFUNCTION("""COMPUTED_VALUE"""),45082.66666666667)</f>
        <v>45082.66667</v>
      </c>
      <c r="B107" s="2">
        <f>IFERROR(__xludf.DUMMYFUNCTION("""COMPUTED_VALUE"""),124.61)</f>
        <v>124.61</v>
      </c>
      <c r="C107" s="2">
        <f>IFERROR(__xludf.DUMMYFUNCTION("""COMPUTED_VALUE"""),127.99)</f>
        <v>127.99</v>
      </c>
      <c r="D107" s="2">
        <f>IFERROR(__xludf.DUMMYFUNCTION("""COMPUTED_VALUE"""),124.38)</f>
        <v>124.38</v>
      </c>
      <c r="E107" s="2">
        <f>IFERROR(__xludf.DUMMYFUNCTION("""COMPUTED_VALUE"""),126.63)</f>
        <v>126.63</v>
      </c>
      <c r="F107" s="2">
        <f>IFERROR(__xludf.DUMMYFUNCTION("""COMPUTED_VALUE"""),2.2672516E7)</f>
        <v>22672516</v>
      </c>
    </row>
    <row r="108">
      <c r="A108" s="3">
        <f>IFERROR(__xludf.DUMMYFUNCTION("""COMPUTED_VALUE"""),45083.66666666667)</f>
        <v>45083.66667</v>
      </c>
      <c r="B108" s="2">
        <f>IFERROR(__xludf.DUMMYFUNCTION("""COMPUTED_VALUE"""),126.6)</f>
        <v>126.6</v>
      </c>
      <c r="C108" s="2">
        <f>IFERROR(__xludf.DUMMYFUNCTION("""COMPUTED_VALUE"""),128.88)</f>
        <v>128.88</v>
      </c>
      <c r="D108" s="2">
        <f>IFERROR(__xludf.DUMMYFUNCTION("""COMPUTED_VALUE"""),125.97)</f>
        <v>125.97</v>
      </c>
      <c r="E108" s="2">
        <f>IFERROR(__xludf.DUMMYFUNCTION("""COMPUTED_VALUE"""),127.91)</f>
        <v>127.91</v>
      </c>
      <c r="F108" s="2">
        <f>IFERROR(__xludf.DUMMYFUNCTION("""COMPUTED_VALUE"""),1.9450128E7)</f>
        <v>19450128</v>
      </c>
    </row>
    <row r="109">
      <c r="A109" s="3">
        <f>IFERROR(__xludf.DUMMYFUNCTION("""COMPUTED_VALUE"""),45084.66666666667)</f>
        <v>45084.66667</v>
      </c>
      <c r="B109" s="2">
        <f>IFERROR(__xludf.DUMMYFUNCTION("""COMPUTED_VALUE"""),127.58)</f>
        <v>127.58</v>
      </c>
      <c r="C109" s="2">
        <f>IFERROR(__xludf.DUMMYFUNCTION("""COMPUTED_VALUE"""),129.55)</f>
        <v>129.55</v>
      </c>
      <c r="D109" s="2">
        <f>IFERROR(__xludf.DUMMYFUNCTION("""COMPUTED_VALUE"""),122.63)</f>
        <v>122.63</v>
      </c>
      <c r="E109" s="2">
        <f>IFERROR(__xludf.DUMMYFUNCTION("""COMPUTED_VALUE"""),122.94)</f>
        <v>122.94</v>
      </c>
      <c r="F109" s="2">
        <f>IFERROR(__xludf.DUMMYFUNCTION("""COMPUTED_VALUE"""),3.4179348E7)</f>
        <v>34179348</v>
      </c>
    </row>
    <row r="110">
      <c r="A110" s="3">
        <f>IFERROR(__xludf.DUMMYFUNCTION("""COMPUTED_VALUE"""),45085.66666666667)</f>
        <v>45085.66667</v>
      </c>
      <c r="B110" s="2">
        <f>IFERROR(__xludf.DUMMYFUNCTION("""COMPUTED_VALUE"""),122.59)</f>
        <v>122.59</v>
      </c>
      <c r="C110" s="2">
        <f>IFERROR(__xludf.DUMMYFUNCTION("""COMPUTED_VALUE"""),123.73)</f>
        <v>123.73</v>
      </c>
      <c r="D110" s="2">
        <f>IFERROR(__xludf.DUMMYFUNCTION("""COMPUTED_VALUE"""),122.01)</f>
        <v>122.01</v>
      </c>
      <c r="E110" s="2">
        <f>IFERROR(__xludf.DUMMYFUNCTION("""COMPUTED_VALUE"""),122.67)</f>
        <v>122.67</v>
      </c>
      <c r="F110" s="2">
        <f>IFERROR(__xludf.DUMMYFUNCTION("""COMPUTED_VALUE"""),2.4814996E7)</f>
        <v>24814996</v>
      </c>
    </row>
    <row r="111">
      <c r="A111" s="3">
        <f>IFERROR(__xludf.DUMMYFUNCTION("""COMPUTED_VALUE"""),45086.66666666667)</f>
        <v>45086.66667</v>
      </c>
      <c r="B111" s="2">
        <f>IFERROR(__xludf.DUMMYFUNCTION("""COMPUTED_VALUE"""),122.56)</f>
        <v>122.56</v>
      </c>
      <c r="C111" s="2">
        <f>IFERROR(__xludf.DUMMYFUNCTION("""COMPUTED_VALUE"""),124.29)</f>
        <v>124.29</v>
      </c>
      <c r="D111" s="2">
        <f>IFERROR(__xludf.DUMMYFUNCTION("""COMPUTED_VALUE"""),122.42)</f>
        <v>122.42</v>
      </c>
      <c r="E111" s="2">
        <f>IFERROR(__xludf.DUMMYFUNCTION("""COMPUTED_VALUE"""),122.87)</f>
        <v>122.87</v>
      </c>
      <c r="F111" s="2">
        <f>IFERROR(__xludf.DUMMYFUNCTION("""COMPUTED_VALUE"""),2.0313676E7)</f>
        <v>20313676</v>
      </c>
    </row>
    <row r="112">
      <c r="A112" s="3">
        <f>IFERROR(__xludf.DUMMYFUNCTION("""COMPUTED_VALUE"""),45089.66666666667)</f>
        <v>45089.66667</v>
      </c>
      <c r="B112" s="2">
        <f>IFERROR(__xludf.DUMMYFUNCTION("""COMPUTED_VALUE"""),123.4)</f>
        <v>123.4</v>
      </c>
      <c r="C112" s="2">
        <f>IFERROR(__xludf.DUMMYFUNCTION("""COMPUTED_VALUE"""),124.75)</f>
        <v>124.75</v>
      </c>
      <c r="D112" s="2">
        <f>IFERROR(__xludf.DUMMYFUNCTION("""COMPUTED_VALUE"""),122.35)</f>
        <v>122.35</v>
      </c>
      <c r="E112" s="2">
        <f>IFERROR(__xludf.DUMMYFUNCTION("""COMPUTED_VALUE"""),124.35)</f>
        <v>124.35</v>
      </c>
      <c r="F112" s="2">
        <f>IFERROR(__xludf.DUMMYFUNCTION("""COMPUTED_VALUE"""),2.2289632E7)</f>
        <v>22289632</v>
      </c>
    </row>
    <row r="113">
      <c r="A113" s="3">
        <f>IFERROR(__xludf.DUMMYFUNCTION("""COMPUTED_VALUE"""),45090.66666666667)</f>
        <v>45090.66667</v>
      </c>
      <c r="B113" s="2">
        <f>IFERROR(__xludf.DUMMYFUNCTION("""COMPUTED_VALUE"""),125.65)</f>
        <v>125.65</v>
      </c>
      <c r="C113" s="2">
        <f>IFERROR(__xludf.DUMMYFUNCTION("""COMPUTED_VALUE"""),125.86)</f>
        <v>125.86</v>
      </c>
      <c r="D113" s="2">
        <f>IFERROR(__xludf.DUMMYFUNCTION("""COMPUTED_VALUE"""),123.85)</f>
        <v>123.85</v>
      </c>
      <c r="E113" s="2">
        <f>IFERROR(__xludf.DUMMYFUNCTION("""COMPUTED_VALUE"""),124.43)</f>
        <v>124.43</v>
      </c>
      <c r="F113" s="2">
        <f>IFERROR(__xludf.DUMMYFUNCTION("""COMPUTED_VALUE"""),1.928765E7)</f>
        <v>19287650</v>
      </c>
    </row>
    <row r="114">
      <c r="A114" s="3">
        <f>IFERROR(__xludf.DUMMYFUNCTION("""COMPUTED_VALUE"""),45091.66666666667)</f>
        <v>45091.66667</v>
      </c>
      <c r="B114" s="2">
        <f>IFERROR(__xludf.DUMMYFUNCTION("""COMPUTED_VALUE"""),123.8)</f>
        <v>123.8</v>
      </c>
      <c r="C114" s="2">
        <f>IFERROR(__xludf.DUMMYFUNCTION("""COMPUTED_VALUE"""),124.79)</f>
        <v>124.79</v>
      </c>
      <c r="D114" s="2">
        <f>IFERROR(__xludf.DUMMYFUNCTION("""COMPUTED_VALUE"""),122.16)</f>
        <v>122.16</v>
      </c>
      <c r="E114" s="2">
        <f>IFERROR(__xludf.DUMMYFUNCTION("""COMPUTED_VALUE"""),124.38)</f>
        <v>124.38</v>
      </c>
      <c r="F114" s="2">
        <f>IFERROR(__xludf.DUMMYFUNCTION("""COMPUTED_VALUE"""),2.465962E7)</f>
        <v>24659620</v>
      </c>
    </row>
    <row r="115">
      <c r="A115" s="3">
        <f>IFERROR(__xludf.DUMMYFUNCTION("""COMPUTED_VALUE"""),45092.66666666667)</f>
        <v>45092.66667</v>
      </c>
      <c r="B115" s="2">
        <f>IFERROR(__xludf.DUMMYFUNCTION("""COMPUTED_VALUE"""),123.88)</f>
        <v>123.88</v>
      </c>
      <c r="C115" s="2">
        <f>IFERROR(__xludf.DUMMYFUNCTION("""COMPUTED_VALUE"""),126.16)</f>
        <v>126.16</v>
      </c>
      <c r="D115" s="2">
        <f>IFERROR(__xludf.DUMMYFUNCTION("""COMPUTED_VALUE"""),123.14)</f>
        <v>123.14</v>
      </c>
      <c r="E115" s="2">
        <f>IFERROR(__xludf.DUMMYFUNCTION("""COMPUTED_VALUE"""),125.79)</f>
        <v>125.79</v>
      </c>
      <c r="F115" s="2">
        <f>IFERROR(__xludf.DUMMYFUNCTION("""COMPUTED_VALUE"""),2.4517071E7)</f>
        <v>24517071</v>
      </c>
    </row>
    <row r="116">
      <c r="A116" s="3">
        <f>IFERROR(__xludf.DUMMYFUNCTION("""COMPUTED_VALUE"""),45093.66666666667)</f>
        <v>45093.66667</v>
      </c>
      <c r="B116" s="2">
        <f>IFERROR(__xludf.DUMMYFUNCTION("""COMPUTED_VALUE"""),126.7)</f>
        <v>126.7</v>
      </c>
      <c r="C116" s="2">
        <f>IFERROR(__xludf.DUMMYFUNCTION("""COMPUTED_VALUE"""),126.7)</f>
        <v>126.7</v>
      </c>
      <c r="D116" s="2">
        <f>IFERROR(__xludf.DUMMYFUNCTION("""COMPUTED_VALUE"""),123.79)</f>
        <v>123.79</v>
      </c>
      <c r="E116" s="2">
        <f>IFERROR(__xludf.DUMMYFUNCTION("""COMPUTED_VALUE"""),124.06)</f>
        <v>124.06</v>
      </c>
      <c r="F116" s="2">
        <f>IFERROR(__xludf.DUMMYFUNCTION("""COMPUTED_VALUE"""),5.66992E7)</f>
        <v>56699200</v>
      </c>
    </row>
    <row r="117">
      <c r="A117" s="3">
        <f>IFERROR(__xludf.DUMMYFUNCTION("""COMPUTED_VALUE"""),45097.66666666667)</f>
        <v>45097.66667</v>
      </c>
      <c r="B117" s="2">
        <f>IFERROR(__xludf.DUMMYFUNCTION("""COMPUTED_VALUE"""),123.54)</f>
        <v>123.54</v>
      </c>
      <c r="C117" s="2">
        <f>IFERROR(__xludf.DUMMYFUNCTION("""COMPUTED_VALUE"""),125.18)</f>
        <v>125.18</v>
      </c>
      <c r="D117" s="2">
        <f>IFERROR(__xludf.DUMMYFUNCTION("""COMPUTED_VALUE"""),122.83)</f>
        <v>122.83</v>
      </c>
      <c r="E117" s="2">
        <f>IFERROR(__xludf.DUMMYFUNCTION("""COMPUTED_VALUE"""),123.85)</f>
        <v>123.85</v>
      </c>
      <c r="F117" s="2">
        <f>IFERROR(__xludf.DUMMYFUNCTION("""COMPUTED_VALUE"""),2.2698028E7)</f>
        <v>22698028</v>
      </c>
    </row>
    <row r="118">
      <c r="A118" s="3">
        <f>IFERROR(__xludf.DUMMYFUNCTION("""COMPUTED_VALUE"""),45098.66666666667)</f>
        <v>45098.66667</v>
      </c>
      <c r="B118" s="2">
        <f>IFERROR(__xludf.DUMMYFUNCTION("""COMPUTED_VALUE"""),123.24)</f>
        <v>123.24</v>
      </c>
      <c r="C118" s="2">
        <f>IFERROR(__xludf.DUMMYFUNCTION("""COMPUTED_VALUE"""),123.41)</f>
        <v>123.41</v>
      </c>
      <c r="D118" s="2">
        <f>IFERROR(__xludf.DUMMYFUNCTION("""COMPUTED_VALUE"""),120.86)</f>
        <v>120.86</v>
      </c>
      <c r="E118" s="2">
        <f>IFERROR(__xludf.DUMMYFUNCTION("""COMPUTED_VALUE"""),121.26)</f>
        <v>121.26</v>
      </c>
      <c r="F118" s="2">
        <f>IFERROR(__xludf.DUMMYFUNCTION("""COMPUTED_VALUE"""),2.2612002E7)</f>
        <v>22612002</v>
      </c>
    </row>
    <row r="119">
      <c r="A119" s="3">
        <f>IFERROR(__xludf.DUMMYFUNCTION("""COMPUTED_VALUE"""),45099.66666666667)</f>
        <v>45099.66667</v>
      </c>
      <c r="B119" s="2">
        <f>IFERROR(__xludf.DUMMYFUNCTION("""COMPUTED_VALUE"""),120.66)</f>
        <v>120.66</v>
      </c>
      <c r="C119" s="2">
        <f>IFERROR(__xludf.DUMMYFUNCTION("""COMPUTED_VALUE"""),123.94)</f>
        <v>123.94</v>
      </c>
      <c r="D119" s="2">
        <f>IFERROR(__xludf.DUMMYFUNCTION("""COMPUTED_VALUE"""),119.6)</f>
        <v>119.6</v>
      </c>
      <c r="E119" s="2">
        <f>IFERROR(__xludf.DUMMYFUNCTION("""COMPUTED_VALUE"""),123.87)</f>
        <v>123.87</v>
      </c>
      <c r="F119" s="2">
        <f>IFERROR(__xludf.DUMMYFUNCTION("""COMPUTED_VALUE"""),2.0781888E7)</f>
        <v>20781888</v>
      </c>
    </row>
    <row r="120">
      <c r="A120" s="3">
        <f>IFERROR(__xludf.DUMMYFUNCTION("""COMPUTED_VALUE"""),45100.66666666667)</f>
        <v>45100.66667</v>
      </c>
      <c r="B120" s="2">
        <f>IFERROR(__xludf.DUMMYFUNCTION("""COMPUTED_VALUE"""),122.04)</f>
        <v>122.04</v>
      </c>
      <c r="C120" s="2">
        <f>IFERROR(__xludf.DUMMYFUNCTION("""COMPUTED_VALUE"""),123.44)</f>
        <v>123.44</v>
      </c>
      <c r="D120" s="2">
        <f>IFERROR(__xludf.DUMMYFUNCTION("""COMPUTED_VALUE"""),121.86)</f>
        <v>121.86</v>
      </c>
      <c r="E120" s="2">
        <f>IFERROR(__xludf.DUMMYFUNCTION("""COMPUTED_VALUE"""),123.02)</f>
        <v>123.02</v>
      </c>
      <c r="F120" s="2">
        <f>IFERROR(__xludf.DUMMYFUNCTION("""COMPUTED_VALUE"""),2.9573123E7)</f>
        <v>29573123</v>
      </c>
    </row>
    <row r="121">
      <c r="A121" s="3">
        <f>IFERROR(__xludf.DUMMYFUNCTION("""COMPUTED_VALUE"""),45103.66666666667)</f>
        <v>45103.66667</v>
      </c>
      <c r="B121" s="2">
        <f>IFERROR(__xludf.DUMMYFUNCTION("""COMPUTED_VALUE"""),121.47)</f>
        <v>121.47</v>
      </c>
      <c r="C121" s="2">
        <f>IFERROR(__xludf.DUMMYFUNCTION("""COMPUTED_VALUE"""),122.72)</f>
        <v>122.72</v>
      </c>
      <c r="D121" s="2">
        <f>IFERROR(__xludf.DUMMYFUNCTION("""COMPUTED_VALUE"""),118.99)</f>
        <v>118.99</v>
      </c>
      <c r="E121" s="2">
        <f>IFERROR(__xludf.DUMMYFUNCTION("""COMPUTED_VALUE"""),119.09)</f>
        <v>119.09</v>
      </c>
      <c r="F121" s="2">
        <f>IFERROR(__xludf.DUMMYFUNCTION("""COMPUTED_VALUE"""),2.3184961E7)</f>
        <v>23184961</v>
      </c>
    </row>
    <row r="122">
      <c r="A122" s="3">
        <f>IFERROR(__xludf.DUMMYFUNCTION("""COMPUTED_VALUE"""),45104.66666666667)</f>
        <v>45104.66667</v>
      </c>
      <c r="B122" s="2">
        <f>IFERROR(__xludf.DUMMYFUNCTION("""COMPUTED_VALUE"""),117.84)</f>
        <v>117.84</v>
      </c>
      <c r="C122" s="2">
        <f>IFERROR(__xludf.DUMMYFUNCTION("""COMPUTED_VALUE"""),119.9)</f>
        <v>119.9</v>
      </c>
      <c r="D122" s="2">
        <f>IFERROR(__xludf.DUMMYFUNCTION("""COMPUTED_VALUE"""),116.91)</f>
        <v>116.91</v>
      </c>
      <c r="E122" s="2">
        <f>IFERROR(__xludf.DUMMYFUNCTION("""COMPUTED_VALUE"""),119.01)</f>
        <v>119.01</v>
      </c>
      <c r="F122" s="2">
        <f>IFERROR(__xludf.DUMMYFUNCTION("""COMPUTED_VALUE"""),2.7221714E7)</f>
        <v>27221714</v>
      </c>
    </row>
    <row r="123">
      <c r="A123" s="3">
        <f>IFERROR(__xludf.DUMMYFUNCTION("""COMPUTED_VALUE"""),45105.66666666667)</f>
        <v>45105.66667</v>
      </c>
      <c r="B123" s="2">
        <f>IFERROR(__xludf.DUMMYFUNCTION("""COMPUTED_VALUE"""),117.96)</f>
        <v>117.96</v>
      </c>
      <c r="C123" s="2">
        <f>IFERROR(__xludf.DUMMYFUNCTION("""COMPUTED_VALUE"""),121.27)</f>
        <v>121.27</v>
      </c>
      <c r="D123" s="2">
        <f>IFERROR(__xludf.DUMMYFUNCTION("""COMPUTED_VALUE"""),117.6)</f>
        <v>117.6</v>
      </c>
      <c r="E123" s="2">
        <f>IFERROR(__xludf.DUMMYFUNCTION("""COMPUTED_VALUE"""),121.08)</f>
        <v>121.08</v>
      </c>
      <c r="F123" s="2">
        <f>IFERROR(__xludf.DUMMYFUNCTION("""COMPUTED_VALUE"""),1.9753145E7)</f>
        <v>19753145</v>
      </c>
    </row>
    <row r="124">
      <c r="A124" s="3">
        <f>IFERROR(__xludf.DUMMYFUNCTION("""COMPUTED_VALUE"""),45106.66666666667)</f>
        <v>45106.66667</v>
      </c>
      <c r="B124" s="2">
        <f>IFERROR(__xludf.DUMMYFUNCTION("""COMPUTED_VALUE"""),120.09)</f>
        <v>120.09</v>
      </c>
      <c r="C124" s="2">
        <f>IFERROR(__xludf.DUMMYFUNCTION("""COMPUTED_VALUE"""),120.91)</f>
        <v>120.91</v>
      </c>
      <c r="D124" s="2">
        <f>IFERROR(__xludf.DUMMYFUNCTION("""COMPUTED_VALUE"""),119.21)</f>
        <v>119.21</v>
      </c>
      <c r="E124" s="2">
        <f>IFERROR(__xludf.DUMMYFUNCTION("""COMPUTED_VALUE"""),120.01)</f>
        <v>120.01</v>
      </c>
      <c r="F124" s="2">
        <f>IFERROR(__xludf.DUMMYFUNCTION("""COMPUTED_VALUE"""),1.8517458E7)</f>
        <v>18517458</v>
      </c>
    </row>
    <row r="125">
      <c r="A125" s="3">
        <f>IFERROR(__xludf.DUMMYFUNCTION("""COMPUTED_VALUE"""),45107.66666666667)</f>
        <v>45107.66667</v>
      </c>
      <c r="B125" s="2">
        <f>IFERROR(__xludf.DUMMYFUNCTION("""COMPUTED_VALUE"""),121.1)</f>
        <v>121.1</v>
      </c>
      <c r="C125" s="2">
        <f>IFERROR(__xludf.DUMMYFUNCTION("""COMPUTED_VALUE"""),122.03)</f>
        <v>122.03</v>
      </c>
      <c r="D125" s="2">
        <f>IFERROR(__xludf.DUMMYFUNCTION("""COMPUTED_VALUE"""),120.88)</f>
        <v>120.88</v>
      </c>
      <c r="E125" s="2">
        <f>IFERROR(__xludf.DUMMYFUNCTION("""COMPUTED_VALUE"""),120.97)</f>
        <v>120.97</v>
      </c>
      <c r="F125" s="2">
        <f>IFERROR(__xludf.DUMMYFUNCTION("""COMPUTED_VALUE"""),2.3871764E7)</f>
        <v>23871764</v>
      </c>
    </row>
    <row r="126">
      <c r="A126" s="3">
        <f>IFERROR(__xludf.DUMMYFUNCTION("""COMPUTED_VALUE"""),45110.54513888889)</f>
        <v>45110.54514</v>
      </c>
      <c r="B126" s="2">
        <f>IFERROR(__xludf.DUMMYFUNCTION("""COMPUTED_VALUE"""),120.32)</f>
        <v>120.32</v>
      </c>
      <c r="C126" s="2">
        <f>IFERROR(__xludf.DUMMYFUNCTION("""COMPUTED_VALUE"""),121.02)</f>
        <v>121.02</v>
      </c>
      <c r="D126" s="2">
        <f>IFERROR(__xludf.DUMMYFUNCTION("""COMPUTED_VALUE"""),119.71)</f>
        <v>119.71</v>
      </c>
      <c r="E126" s="2">
        <f>IFERROR(__xludf.DUMMYFUNCTION("""COMPUTED_VALUE"""),120.56)</f>
        <v>120.56</v>
      </c>
      <c r="F126" s="2">
        <f>IFERROR(__xludf.DUMMYFUNCTION("""COMPUTED_VALUE"""),1.3888262E7)</f>
        <v>13888262</v>
      </c>
    </row>
    <row r="127">
      <c r="A127" s="3">
        <f>IFERROR(__xludf.DUMMYFUNCTION("""COMPUTED_VALUE"""),45112.66666666667)</f>
        <v>45112.66667</v>
      </c>
      <c r="B127" s="2">
        <f>IFERROR(__xludf.DUMMYFUNCTION("""COMPUTED_VALUE"""),120.06)</f>
        <v>120.06</v>
      </c>
      <c r="C127" s="2">
        <f>IFERROR(__xludf.DUMMYFUNCTION("""COMPUTED_VALUE"""),123.37)</f>
        <v>123.37</v>
      </c>
      <c r="D127" s="2">
        <f>IFERROR(__xludf.DUMMYFUNCTION("""COMPUTED_VALUE"""),120.06)</f>
        <v>120.06</v>
      </c>
      <c r="E127" s="2">
        <f>IFERROR(__xludf.DUMMYFUNCTION("""COMPUTED_VALUE"""),122.63)</f>
        <v>122.63</v>
      </c>
      <c r="F127" s="2">
        <f>IFERROR(__xludf.DUMMYFUNCTION("""COMPUTED_VALUE"""),1.7830347E7)</f>
        <v>17830347</v>
      </c>
    </row>
    <row r="128">
      <c r="A128" s="3">
        <f>IFERROR(__xludf.DUMMYFUNCTION("""COMPUTED_VALUE"""),45113.66666666667)</f>
        <v>45113.66667</v>
      </c>
      <c r="B128" s="2">
        <f>IFERROR(__xludf.DUMMYFUNCTION("""COMPUTED_VALUE"""),120.64)</f>
        <v>120.64</v>
      </c>
      <c r="C128" s="2">
        <f>IFERROR(__xludf.DUMMYFUNCTION("""COMPUTED_VALUE"""),121.15)</f>
        <v>121.15</v>
      </c>
      <c r="D128" s="2">
        <f>IFERROR(__xludf.DUMMYFUNCTION("""COMPUTED_VALUE"""),119.25)</f>
        <v>119.25</v>
      </c>
      <c r="E128" s="2">
        <f>IFERROR(__xludf.DUMMYFUNCTION("""COMPUTED_VALUE"""),120.93)</f>
        <v>120.93</v>
      </c>
      <c r="F128" s="2">
        <f>IFERROR(__xludf.DUMMYFUNCTION("""COMPUTED_VALUE"""),1.7750181E7)</f>
        <v>17750181</v>
      </c>
    </row>
    <row r="129">
      <c r="A129" s="3">
        <f>IFERROR(__xludf.DUMMYFUNCTION("""COMPUTED_VALUE"""),45114.66666666667)</f>
        <v>45114.66667</v>
      </c>
      <c r="B129" s="2">
        <f>IFERROR(__xludf.DUMMYFUNCTION("""COMPUTED_VALUE"""),120.89)</f>
        <v>120.89</v>
      </c>
      <c r="C129" s="2">
        <f>IFERROR(__xludf.DUMMYFUNCTION("""COMPUTED_VALUE"""),121.75)</f>
        <v>121.75</v>
      </c>
      <c r="D129" s="2">
        <f>IFERROR(__xludf.DUMMYFUNCTION("""COMPUTED_VALUE"""),120.09)</f>
        <v>120.09</v>
      </c>
      <c r="E129" s="2">
        <f>IFERROR(__xludf.DUMMYFUNCTION("""COMPUTED_VALUE"""),120.14)</f>
        <v>120.14</v>
      </c>
      <c r="F129" s="2">
        <f>IFERROR(__xludf.DUMMYFUNCTION("""COMPUTED_VALUE"""),2.0997665E7)</f>
        <v>20997665</v>
      </c>
    </row>
    <row r="130">
      <c r="A130" s="3">
        <f>IFERROR(__xludf.DUMMYFUNCTION("""COMPUTED_VALUE"""),45117.66666666667)</f>
        <v>45117.66667</v>
      </c>
      <c r="B130" s="2">
        <f>IFERROR(__xludf.DUMMYFUNCTION("""COMPUTED_VALUE"""),119.07)</f>
        <v>119.07</v>
      </c>
      <c r="C130" s="2">
        <f>IFERROR(__xludf.DUMMYFUNCTION("""COMPUTED_VALUE"""),119.07)</f>
        <v>119.07</v>
      </c>
      <c r="D130" s="2">
        <f>IFERROR(__xludf.DUMMYFUNCTION("""COMPUTED_VALUE"""),116.64)</f>
        <v>116.64</v>
      </c>
      <c r="E130" s="2">
        <f>IFERROR(__xludf.DUMMYFUNCTION("""COMPUTED_VALUE"""),116.87)</f>
        <v>116.87</v>
      </c>
      <c r="F130" s="2">
        <f>IFERROR(__xludf.DUMMYFUNCTION("""COMPUTED_VALUE"""),3.2960078E7)</f>
        <v>32960078</v>
      </c>
    </row>
    <row r="131">
      <c r="A131" s="3">
        <f>IFERROR(__xludf.DUMMYFUNCTION("""COMPUTED_VALUE"""),45118.66666666667)</f>
        <v>45118.66667</v>
      </c>
      <c r="B131" s="2">
        <f>IFERROR(__xludf.DUMMYFUNCTION("""COMPUTED_VALUE"""),116.76)</f>
        <v>116.76</v>
      </c>
      <c r="C131" s="2">
        <f>IFERROR(__xludf.DUMMYFUNCTION("""COMPUTED_VALUE"""),118.23)</f>
        <v>118.23</v>
      </c>
      <c r="D131" s="2">
        <f>IFERROR(__xludf.DUMMYFUNCTION("""COMPUTED_VALUE"""),115.83)</f>
        <v>115.83</v>
      </c>
      <c r="E131" s="2">
        <f>IFERROR(__xludf.DUMMYFUNCTION("""COMPUTED_VALUE"""),117.71)</f>
        <v>117.71</v>
      </c>
      <c r="F131" s="2">
        <f>IFERROR(__xludf.DUMMYFUNCTION("""COMPUTED_VALUE"""),1.8286571E7)</f>
        <v>18286571</v>
      </c>
    </row>
    <row r="132">
      <c r="A132" s="3">
        <f>IFERROR(__xludf.DUMMYFUNCTION("""COMPUTED_VALUE"""),45119.66666666667)</f>
        <v>45119.66667</v>
      </c>
      <c r="B132" s="2">
        <f>IFERROR(__xludf.DUMMYFUNCTION("""COMPUTED_VALUE"""),119.3)</f>
        <v>119.3</v>
      </c>
      <c r="C132" s="2">
        <f>IFERROR(__xludf.DUMMYFUNCTION("""COMPUTED_VALUE"""),120.96)</f>
        <v>120.96</v>
      </c>
      <c r="D132" s="2">
        <f>IFERROR(__xludf.DUMMYFUNCTION("""COMPUTED_VALUE"""),119.0)</f>
        <v>119</v>
      </c>
      <c r="E132" s="2">
        <f>IFERROR(__xludf.DUMMYFUNCTION("""COMPUTED_VALUE"""),119.62)</f>
        <v>119.62</v>
      </c>
      <c r="F132" s="2">
        <f>IFERROR(__xludf.DUMMYFUNCTION("""COMPUTED_VALUE"""),2.2059611E7)</f>
        <v>22059611</v>
      </c>
    </row>
    <row r="133">
      <c r="A133" s="3">
        <f>IFERROR(__xludf.DUMMYFUNCTION("""COMPUTED_VALUE"""),45120.66666666667)</f>
        <v>45120.66667</v>
      </c>
      <c r="B133" s="2">
        <f>IFERROR(__xludf.DUMMYFUNCTION("""COMPUTED_VALUE"""),121.54)</f>
        <v>121.54</v>
      </c>
      <c r="C133" s="2">
        <f>IFERROR(__xludf.DUMMYFUNCTION("""COMPUTED_VALUE"""),125.34)</f>
        <v>125.34</v>
      </c>
      <c r="D133" s="2">
        <f>IFERROR(__xludf.DUMMYFUNCTION("""COMPUTED_VALUE"""),121.06)</f>
        <v>121.06</v>
      </c>
      <c r="E133" s="2">
        <f>IFERROR(__xludf.DUMMYFUNCTION("""COMPUTED_VALUE"""),124.83)</f>
        <v>124.83</v>
      </c>
      <c r="F133" s="2">
        <f>IFERROR(__xludf.DUMMYFUNCTION("""COMPUTED_VALUE"""),3.1535853E7)</f>
        <v>31535853</v>
      </c>
    </row>
    <row r="134">
      <c r="A134" s="3">
        <f>IFERROR(__xludf.DUMMYFUNCTION("""COMPUTED_VALUE"""),45121.66666666667)</f>
        <v>45121.66667</v>
      </c>
      <c r="B134" s="2">
        <f>IFERROR(__xludf.DUMMYFUNCTION("""COMPUTED_VALUE"""),125.13)</f>
        <v>125.13</v>
      </c>
      <c r="C134" s="2">
        <f>IFERROR(__xludf.DUMMYFUNCTION("""COMPUTED_VALUE"""),127.09)</f>
        <v>127.09</v>
      </c>
      <c r="D134" s="2">
        <f>IFERROR(__xludf.DUMMYFUNCTION("""COMPUTED_VALUE"""),124.9)</f>
        <v>124.9</v>
      </c>
      <c r="E134" s="2">
        <f>IFERROR(__xludf.DUMMYFUNCTION("""COMPUTED_VALUE"""),125.7)</f>
        <v>125.7</v>
      </c>
      <c r="F134" s="2">
        <f>IFERROR(__xludf.DUMMYFUNCTION("""COMPUTED_VALUE"""),2.049978E7)</f>
        <v>20499780</v>
      </c>
    </row>
    <row r="135">
      <c r="A135" s="3">
        <f>IFERROR(__xludf.DUMMYFUNCTION("""COMPUTED_VALUE"""),45124.66666666667)</f>
        <v>45124.66667</v>
      </c>
      <c r="B135" s="2">
        <f>IFERROR(__xludf.DUMMYFUNCTION("""COMPUTED_VALUE"""),126.06)</f>
        <v>126.06</v>
      </c>
      <c r="C135" s="2">
        <f>IFERROR(__xludf.DUMMYFUNCTION("""COMPUTED_VALUE"""),127.28)</f>
        <v>127.28</v>
      </c>
      <c r="D135" s="2">
        <f>IFERROR(__xludf.DUMMYFUNCTION("""COMPUTED_VALUE"""),124.5)</f>
        <v>124.5</v>
      </c>
      <c r="E135" s="2">
        <f>IFERROR(__xludf.DUMMYFUNCTION("""COMPUTED_VALUE"""),125.06)</f>
        <v>125.06</v>
      </c>
      <c r="F135" s="2">
        <f>IFERROR(__xludf.DUMMYFUNCTION("""COMPUTED_VALUE"""),2.0675297E7)</f>
        <v>20675297</v>
      </c>
    </row>
    <row r="136">
      <c r="A136" s="3">
        <f>IFERROR(__xludf.DUMMYFUNCTION("""COMPUTED_VALUE"""),45125.66666666667)</f>
        <v>45125.66667</v>
      </c>
      <c r="B136" s="2">
        <f>IFERROR(__xludf.DUMMYFUNCTION("""COMPUTED_VALUE"""),124.91)</f>
        <v>124.91</v>
      </c>
      <c r="C136" s="2">
        <f>IFERROR(__xludf.DUMMYFUNCTION("""COMPUTED_VALUE"""),124.99)</f>
        <v>124.99</v>
      </c>
      <c r="D136" s="2">
        <f>IFERROR(__xludf.DUMMYFUNCTION("""COMPUTED_VALUE"""),123.3)</f>
        <v>123.3</v>
      </c>
      <c r="E136" s="2">
        <f>IFERROR(__xludf.DUMMYFUNCTION("""COMPUTED_VALUE"""),124.08)</f>
        <v>124.08</v>
      </c>
      <c r="F136" s="2">
        <f>IFERROR(__xludf.DUMMYFUNCTION("""COMPUTED_VALUE"""),2.1071248E7)</f>
        <v>21071248</v>
      </c>
    </row>
    <row r="137">
      <c r="A137" s="3">
        <f>IFERROR(__xludf.DUMMYFUNCTION("""COMPUTED_VALUE"""),45126.66666666667)</f>
        <v>45126.66667</v>
      </c>
      <c r="B137" s="2">
        <f>IFERROR(__xludf.DUMMYFUNCTION("""COMPUTED_VALUE"""),124.79)</f>
        <v>124.79</v>
      </c>
      <c r="C137" s="2">
        <f>IFERROR(__xludf.DUMMYFUNCTION("""COMPUTED_VALUE"""),125.47)</f>
        <v>125.47</v>
      </c>
      <c r="D137" s="2">
        <f>IFERROR(__xludf.DUMMYFUNCTION("""COMPUTED_VALUE"""),122.47)</f>
        <v>122.47</v>
      </c>
      <c r="E137" s="2">
        <f>IFERROR(__xludf.DUMMYFUNCTION("""COMPUTED_VALUE"""),122.78)</f>
        <v>122.78</v>
      </c>
      <c r="F137" s="2">
        <f>IFERROR(__xludf.DUMMYFUNCTION("""COMPUTED_VALUE"""),2.2313803E7)</f>
        <v>22313803</v>
      </c>
    </row>
    <row r="138">
      <c r="A138" s="3">
        <f>IFERROR(__xludf.DUMMYFUNCTION("""COMPUTED_VALUE"""),45127.66666666667)</f>
        <v>45127.66667</v>
      </c>
      <c r="B138" s="2">
        <f>IFERROR(__xludf.DUMMYFUNCTION("""COMPUTED_VALUE"""),122.12)</f>
        <v>122.12</v>
      </c>
      <c r="C138" s="2">
        <f>IFERROR(__xludf.DUMMYFUNCTION("""COMPUTED_VALUE"""),124.7)</f>
        <v>124.7</v>
      </c>
      <c r="D138" s="2">
        <f>IFERROR(__xludf.DUMMYFUNCTION("""COMPUTED_VALUE"""),118.69)</f>
        <v>118.69</v>
      </c>
      <c r="E138" s="2">
        <f>IFERROR(__xludf.DUMMYFUNCTION("""COMPUTED_VALUE"""),119.53)</f>
        <v>119.53</v>
      </c>
      <c r="F138" s="2">
        <f>IFERROR(__xludf.DUMMYFUNCTION("""COMPUTED_VALUE"""),2.7541711E7)</f>
        <v>27541711</v>
      </c>
    </row>
    <row r="139">
      <c r="A139" s="3">
        <f>IFERROR(__xludf.DUMMYFUNCTION("""COMPUTED_VALUE"""),45128.66666666667)</f>
        <v>45128.66667</v>
      </c>
      <c r="B139" s="2">
        <f>IFERROR(__xludf.DUMMYFUNCTION("""COMPUTED_VALUE"""),120.87)</f>
        <v>120.87</v>
      </c>
      <c r="C139" s="2">
        <f>IFERROR(__xludf.DUMMYFUNCTION("""COMPUTED_VALUE"""),121.3)</f>
        <v>121.3</v>
      </c>
      <c r="D139" s="2">
        <f>IFERROR(__xludf.DUMMYFUNCTION("""COMPUTED_VALUE"""),119.07)</f>
        <v>119.07</v>
      </c>
      <c r="E139" s="2">
        <f>IFERROR(__xludf.DUMMYFUNCTION("""COMPUTED_VALUE"""),120.31)</f>
        <v>120.31</v>
      </c>
      <c r="F139" s="2">
        <f>IFERROR(__xludf.DUMMYFUNCTION("""COMPUTED_VALUE"""),5.6514645E7)</f>
        <v>56514645</v>
      </c>
    </row>
    <row r="140">
      <c r="A140" s="3">
        <f>IFERROR(__xludf.DUMMYFUNCTION("""COMPUTED_VALUE"""),45131.66666666667)</f>
        <v>45131.66667</v>
      </c>
      <c r="B140" s="2">
        <f>IFERROR(__xludf.DUMMYFUNCTION("""COMPUTED_VALUE"""),121.93)</f>
        <v>121.93</v>
      </c>
      <c r="C140" s="2">
        <f>IFERROR(__xludf.DUMMYFUNCTION("""COMPUTED_VALUE"""),123.35)</f>
        <v>123.35</v>
      </c>
      <c r="D140" s="2">
        <f>IFERROR(__xludf.DUMMYFUNCTION("""COMPUTED_VALUE"""),121.38)</f>
        <v>121.38</v>
      </c>
      <c r="E140" s="2">
        <f>IFERROR(__xludf.DUMMYFUNCTION("""COMPUTED_VALUE"""),121.88)</f>
        <v>121.88</v>
      </c>
      <c r="F140" s="2">
        <f>IFERROR(__xludf.DUMMYFUNCTION("""COMPUTED_VALUE"""),2.231222E7)</f>
        <v>22312220</v>
      </c>
    </row>
    <row r="141">
      <c r="A141" s="3">
        <f>IFERROR(__xludf.DUMMYFUNCTION("""COMPUTED_VALUE"""),45132.66666666667)</f>
        <v>45132.66667</v>
      </c>
      <c r="B141" s="2">
        <f>IFERROR(__xludf.DUMMYFUNCTION("""COMPUTED_VALUE"""),121.88)</f>
        <v>121.88</v>
      </c>
      <c r="C141" s="2">
        <f>IFERROR(__xludf.DUMMYFUNCTION("""COMPUTED_VALUE"""),123.69)</f>
        <v>123.69</v>
      </c>
      <c r="D141" s="2">
        <f>IFERROR(__xludf.DUMMYFUNCTION("""COMPUTED_VALUE"""),121.53)</f>
        <v>121.53</v>
      </c>
      <c r="E141" s="2">
        <f>IFERROR(__xludf.DUMMYFUNCTION("""COMPUTED_VALUE"""),122.79)</f>
        <v>122.79</v>
      </c>
      <c r="F141" s="2">
        <f>IFERROR(__xludf.DUMMYFUNCTION("""COMPUTED_VALUE"""),3.1820846E7)</f>
        <v>31820846</v>
      </c>
    </row>
    <row r="142">
      <c r="A142" s="3">
        <f>IFERROR(__xludf.DUMMYFUNCTION("""COMPUTED_VALUE"""),45133.66666666667)</f>
        <v>45133.66667</v>
      </c>
      <c r="B142" s="2">
        <f>IFERROR(__xludf.DUMMYFUNCTION("""COMPUTED_VALUE"""),130.36)</f>
        <v>130.36</v>
      </c>
      <c r="C142" s="2">
        <f>IFERROR(__xludf.DUMMYFUNCTION("""COMPUTED_VALUE"""),131.37)</f>
        <v>131.37</v>
      </c>
      <c r="D142" s="2">
        <f>IFERROR(__xludf.DUMMYFUNCTION("""COMPUTED_VALUE"""),128.71)</f>
        <v>128.71</v>
      </c>
      <c r="E142" s="2">
        <f>IFERROR(__xludf.DUMMYFUNCTION("""COMPUTED_VALUE"""),129.66)</f>
        <v>129.66</v>
      </c>
      <c r="F142" s="2">
        <f>IFERROR(__xludf.DUMMYFUNCTION("""COMPUTED_VALUE"""),4.6216895E7)</f>
        <v>46216895</v>
      </c>
    </row>
    <row r="143">
      <c r="A143" s="3">
        <f>IFERROR(__xludf.DUMMYFUNCTION("""COMPUTED_VALUE"""),45134.66666666667)</f>
        <v>45134.66667</v>
      </c>
      <c r="B143" s="2">
        <f>IFERROR(__xludf.DUMMYFUNCTION("""COMPUTED_VALUE"""),131.8)</f>
        <v>131.8</v>
      </c>
      <c r="C143" s="2">
        <f>IFERROR(__xludf.DUMMYFUNCTION("""COMPUTED_VALUE"""),133.6)</f>
        <v>133.6</v>
      </c>
      <c r="D143" s="2">
        <f>IFERROR(__xludf.DUMMYFUNCTION("""COMPUTED_VALUE"""),129.18)</f>
        <v>129.18</v>
      </c>
      <c r="E143" s="2">
        <f>IFERROR(__xludf.DUMMYFUNCTION("""COMPUTED_VALUE"""),129.87)</f>
        <v>129.87</v>
      </c>
      <c r="F143" s="2">
        <f>IFERROR(__xludf.DUMMYFUNCTION("""COMPUTED_VALUE"""),3.5931612E7)</f>
        <v>35931612</v>
      </c>
    </row>
    <row r="144">
      <c r="A144" s="3">
        <f>IFERROR(__xludf.DUMMYFUNCTION("""COMPUTED_VALUE"""),45135.66666666667)</f>
        <v>45135.66667</v>
      </c>
      <c r="B144" s="2">
        <f>IFERROR(__xludf.DUMMYFUNCTION("""COMPUTED_VALUE"""),130.97)</f>
        <v>130.97</v>
      </c>
      <c r="C144" s="2">
        <f>IFERROR(__xludf.DUMMYFUNCTION("""COMPUTED_VALUE"""),134.07)</f>
        <v>134.07</v>
      </c>
      <c r="D144" s="2">
        <f>IFERROR(__xludf.DUMMYFUNCTION("""COMPUTED_VALUE"""),130.92)</f>
        <v>130.92</v>
      </c>
      <c r="E144" s="2">
        <f>IFERROR(__xludf.DUMMYFUNCTION("""COMPUTED_VALUE"""),133.01)</f>
        <v>133.01</v>
      </c>
      <c r="F144" s="2">
        <f>IFERROR(__xludf.DUMMYFUNCTION("""COMPUTED_VALUE"""),2.6971011E7)</f>
        <v>26971011</v>
      </c>
    </row>
    <row r="145">
      <c r="A145" s="3">
        <f>IFERROR(__xludf.DUMMYFUNCTION("""COMPUTED_VALUE"""),45138.66666666667)</f>
        <v>45138.66667</v>
      </c>
      <c r="B145" s="2">
        <f>IFERROR(__xludf.DUMMYFUNCTION("""COMPUTED_VALUE"""),133.01)</f>
        <v>133.01</v>
      </c>
      <c r="C145" s="2">
        <f>IFERROR(__xludf.DUMMYFUNCTION("""COMPUTED_VALUE"""),133.83)</f>
        <v>133.83</v>
      </c>
      <c r="D145" s="2">
        <f>IFERROR(__xludf.DUMMYFUNCTION("""COMPUTED_VALUE"""),132.13)</f>
        <v>132.13</v>
      </c>
      <c r="E145" s="2">
        <f>IFERROR(__xludf.DUMMYFUNCTION("""COMPUTED_VALUE"""),133.11)</f>
        <v>133.11</v>
      </c>
      <c r="F145" s="2">
        <f>IFERROR(__xludf.DUMMYFUNCTION("""COMPUTED_VALUE"""),1.8381891E7)</f>
        <v>18381891</v>
      </c>
    </row>
    <row r="146">
      <c r="A146" s="3">
        <f>IFERROR(__xludf.DUMMYFUNCTION("""COMPUTED_VALUE"""),45139.66666666667)</f>
        <v>45139.66667</v>
      </c>
      <c r="B146" s="2">
        <f>IFERROR(__xludf.DUMMYFUNCTION("""COMPUTED_VALUE"""),130.85)</f>
        <v>130.85</v>
      </c>
      <c r="C146" s="2">
        <f>IFERROR(__xludf.DUMMYFUNCTION("""COMPUTED_VALUE"""),132.92)</f>
        <v>132.92</v>
      </c>
      <c r="D146" s="2">
        <f>IFERROR(__xludf.DUMMYFUNCTION("""COMPUTED_VALUE"""),130.75)</f>
        <v>130.75</v>
      </c>
      <c r="E146" s="2">
        <f>IFERROR(__xludf.DUMMYFUNCTION("""COMPUTED_VALUE"""),131.89)</f>
        <v>131.89</v>
      </c>
      <c r="F146" s="2">
        <f>IFERROR(__xludf.DUMMYFUNCTION("""COMPUTED_VALUE"""),2.2219012E7)</f>
        <v>22219012</v>
      </c>
    </row>
    <row r="147">
      <c r="A147" s="3">
        <f>IFERROR(__xludf.DUMMYFUNCTION("""COMPUTED_VALUE"""),45140.66666666667)</f>
        <v>45140.66667</v>
      </c>
      <c r="B147" s="2">
        <f>IFERROR(__xludf.DUMMYFUNCTION("""COMPUTED_VALUE"""),129.84)</f>
        <v>129.84</v>
      </c>
      <c r="C147" s="2">
        <f>IFERROR(__xludf.DUMMYFUNCTION("""COMPUTED_VALUE"""),130.42)</f>
        <v>130.42</v>
      </c>
      <c r="D147" s="2">
        <f>IFERROR(__xludf.DUMMYFUNCTION("""COMPUTED_VALUE"""),127.85)</f>
        <v>127.85</v>
      </c>
      <c r="E147" s="2">
        <f>IFERROR(__xludf.DUMMYFUNCTION("""COMPUTED_VALUE"""),128.64)</f>
        <v>128.64</v>
      </c>
      <c r="F147" s="2">
        <f>IFERROR(__xludf.DUMMYFUNCTION("""COMPUTED_VALUE"""),2.2705778E7)</f>
        <v>22705778</v>
      </c>
    </row>
    <row r="148">
      <c r="A148" s="3">
        <f>IFERROR(__xludf.DUMMYFUNCTION("""COMPUTED_VALUE"""),45141.66666666667)</f>
        <v>45141.66667</v>
      </c>
      <c r="B148" s="2">
        <f>IFERROR(__xludf.DUMMYFUNCTION("""COMPUTED_VALUE"""),128.37)</f>
        <v>128.37</v>
      </c>
      <c r="C148" s="2">
        <f>IFERROR(__xludf.DUMMYFUNCTION("""COMPUTED_VALUE"""),129.77)</f>
        <v>129.77</v>
      </c>
      <c r="D148" s="2">
        <f>IFERROR(__xludf.DUMMYFUNCTION("""COMPUTED_VALUE"""),127.78)</f>
        <v>127.78</v>
      </c>
      <c r="E148" s="2">
        <f>IFERROR(__xludf.DUMMYFUNCTION("""COMPUTED_VALUE"""),128.77)</f>
        <v>128.77</v>
      </c>
      <c r="F148" s="2">
        <f>IFERROR(__xludf.DUMMYFUNCTION("""COMPUTED_VALUE"""),1.5086132E7)</f>
        <v>15086132</v>
      </c>
    </row>
    <row r="149">
      <c r="A149" s="3">
        <f>IFERROR(__xludf.DUMMYFUNCTION("""COMPUTED_VALUE"""),45142.66666666667)</f>
        <v>45142.66667</v>
      </c>
      <c r="B149" s="2">
        <f>IFERROR(__xludf.DUMMYFUNCTION("""COMPUTED_VALUE"""),129.6)</f>
        <v>129.6</v>
      </c>
      <c r="C149" s="2">
        <f>IFERROR(__xludf.DUMMYFUNCTION("""COMPUTED_VALUE"""),131.93)</f>
        <v>131.93</v>
      </c>
      <c r="D149" s="2">
        <f>IFERROR(__xludf.DUMMYFUNCTION("""COMPUTED_VALUE"""),128.32)</f>
        <v>128.32</v>
      </c>
      <c r="E149" s="2">
        <f>IFERROR(__xludf.DUMMYFUNCTION("""COMPUTED_VALUE"""),128.54)</f>
        <v>128.54</v>
      </c>
      <c r="F149" s="2">
        <f>IFERROR(__xludf.DUMMYFUNCTION("""COMPUTED_VALUE"""),2.0521852E7)</f>
        <v>20521852</v>
      </c>
    </row>
    <row r="150">
      <c r="A150" s="3">
        <f>IFERROR(__xludf.DUMMYFUNCTION("""COMPUTED_VALUE"""),45145.66666666667)</f>
        <v>45145.66667</v>
      </c>
      <c r="B150" s="2">
        <f>IFERROR(__xludf.DUMMYFUNCTION("""COMPUTED_VALUE"""),129.51)</f>
        <v>129.51</v>
      </c>
      <c r="C150" s="2">
        <f>IFERROR(__xludf.DUMMYFUNCTION("""COMPUTED_VALUE"""),132.06)</f>
        <v>132.06</v>
      </c>
      <c r="D150" s="2">
        <f>IFERROR(__xludf.DUMMYFUNCTION("""COMPUTED_VALUE"""),129.43)</f>
        <v>129.43</v>
      </c>
      <c r="E150" s="2">
        <f>IFERROR(__xludf.DUMMYFUNCTION("""COMPUTED_VALUE"""),131.94)</f>
        <v>131.94</v>
      </c>
      <c r="F150" s="2">
        <f>IFERROR(__xludf.DUMMYFUNCTION("""COMPUTED_VALUE"""),1.7621041E7)</f>
        <v>17621041</v>
      </c>
    </row>
    <row r="151">
      <c r="A151" s="3">
        <f>IFERROR(__xludf.DUMMYFUNCTION("""COMPUTED_VALUE"""),45146.66666666667)</f>
        <v>45146.66667</v>
      </c>
      <c r="B151" s="2">
        <f>IFERROR(__xludf.DUMMYFUNCTION("""COMPUTED_VALUE"""),130.98)</f>
        <v>130.98</v>
      </c>
      <c r="C151" s="2">
        <f>IFERROR(__xludf.DUMMYFUNCTION("""COMPUTED_VALUE"""),131.94)</f>
        <v>131.94</v>
      </c>
      <c r="D151" s="2">
        <f>IFERROR(__xludf.DUMMYFUNCTION("""COMPUTED_VALUE"""),130.13)</f>
        <v>130.13</v>
      </c>
      <c r="E151" s="2">
        <f>IFERROR(__xludf.DUMMYFUNCTION("""COMPUTED_VALUE"""),131.84)</f>
        <v>131.84</v>
      </c>
      <c r="F151" s="2">
        <f>IFERROR(__xludf.DUMMYFUNCTION("""COMPUTED_VALUE"""),1.6835952E7)</f>
        <v>16835952</v>
      </c>
    </row>
    <row r="152">
      <c r="A152" s="3">
        <f>IFERROR(__xludf.DUMMYFUNCTION("""COMPUTED_VALUE"""),45147.66666666667)</f>
        <v>45147.66667</v>
      </c>
      <c r="B152" s="2">
        <f>IFERROR(__xludf.DUMMYFUNCTION("""COMPUTED_VALUE"""),132.19)</f>
        <v>132.19</v>
      </c>
      <c r="C152" s="2">
        <f>IFERROR(__xludf.DUMMYFUNCTION("""COMPUTED_VALUE"""),132.47)</f>
        <v>132.47</v>
      </c>
      <c r="D152" s="2">
        <f>IFERROR(__xludf.DUMMYFUNCTION("""COMPUTED_VALUE"""),129.51)</f>
        <v>129.51</v>
      </c>
      <c r="E152" s="2">
        <f>IFERROR(__xludf.DUMMYFUNCTION("""COMPUTED_VALUE"""),130.15)</f>
        <v>130.15</v>
      </c>
      <c r="F152" s="2">
        <f>IFERROR(__xludf.DUMMYFUNCTION("""COMPUTED_VALUE"""),1.7745218E7)</f>
        <v>17745218</v>
      </c>
    </row>
    <row r="153">
      <c r="A153" s="3">
        <f>IFERROR(__xludf.DUMMYFUNCTION("""COMPUTED_VALUE"""),45148.66666666667)</f>
        <v>45148.66667</v>
      </c>
      <c r="B153" s="2">
        <f>IFERROR(__xludf.DUMMYFUNCTION("""COMPUTED_VALUE"""),131.97)</f>
        <v>131.97</v>
      </c>
      <c r="C153" s="2">
        <f>IFERROR(__xludf.DUMMYFUNCTION("""COMPUTED_VALUE"""),132.65)</f>
        <v>132.65</v>
      </c>
      <c r="D153" s="2">
        <f>IFERROR(__xludf.DUMMYFUNCTION("""COMPUTED_VALUE"""),130.04)</f>
        <v>130.04</v>
      </c>
      <c r="E153" s="2">
        <f>IFERROR(__xludf.DUMMYFUNCTION("""COMPUTED_VALUE"""),130.21)</f>
        <v>130.21</v>
      </c>
      <c r="F153" s="2">
        <f>IFERROR(__xludf.DUMMYFUNCTION("""COMPUTED_VALUE"""),1.7855681E7)</f>
        <v>17855681</v>
      </c>
    </row>
    <row r="154">
      <c r="A154" s="3">
        <f>IFERROR(__xludf.DUMMYFUNCTION("""COMPUTED_VALUE"""),45149.66666666667)</f>
        <v>45149.66667</v>
      </c>
      <c r="B154" s="2">
        <f>IFERROR(__xludf.DUMMYFUNCTION("""COMPUTED_VALUE"""),129.2)</f>
        <v>129.2</v>
      </c>
      <c r="C154" s="2">
        <f>IFERROR(__xludf.DUMMYFUNCTION("""COMPUTED_VALUE"""),130.44)</f>
        <v>130.44</v>
      </c>
      <c r="D154" s="2">
        <f>IFERROR(__xludf.DUMMYFUNCTION("""COMPUTED_VALUE"""),128.75)</f>
        <v>128.75</v>
      </c>
      <c r="E154" s="2">
        <f>IFERROR(__xludf.DUMMYFUNCTION("""COMPUTED_VALUE"""),130.17)</f>
        <v>130.17</v>
      </c>
      <c r="F154" s="2">
        <f>IFERROR(__xludf.DUMMYFUNCTION("""COMPUTED_VALUE"""),1.5205465E7)</f>
        <v>15205465</v>
      </c>
    </row>
    <row r="155">
      <c r="A155" s="3">
        <f>IFERROR(__xludf.DUMMYFUNCTION("""COMPUTED_VALUE"""),45152.66666666667)</f>
        <v>45152.66667</v>
      </c>
      <c r="B155" s="2">
        <f>IFERROR(__xludf.DUMMYFUNCTION("""COMPUTED_VALUE"""),129.85)</f>
        <v>129.85</v>
      </c>
      <c r="C155" s="2">
        <f>IFERROR(__xludf.DUMMYFUNCTION("""COMPUTED_VALUE"""),131.91)</f>
        <v>131.91</v>
      </c>
      <c r="D155" s="2">
        <f>IFERROR(__xludf.DUMMYFUNCTION("""COMPUTED_VALUE"""),129.59)</f>
        <v>129.59</v>
      </c>
      <c r="E155" s="2">
        <f>IFERROR(__xludf.DUMMYFUNCTION("""COMPUTED_VALUE"""),131.83)</f>
        <v>131.83</v>
      </c>
      <c r="F155" s="2">
        <f>IFERROR(__xludf.DUMMYFUNCTION("""COMPUTED_VALUE"""),1.7526195E7)</f>
        <v>17526195</v>
      </c>
    </row>
    <row r="156">
      <c r="A156" s="3">
        <f>IFERROR(__xludf.DUMMYFUNCTION("""COMPUTED_VALUE"""),45153.66666666667)</f>
        <v>45153.66667</v>
      </c>
      <c r="B156" s="2">
        <f>IFERROR(__xludf.DUMMYFUNCTION("""COMPUTED_VALUE"""),131.59)</f>
        <v>131.59</v>
      </c>
      <c r="C156" s="2">
        <f>IFERROR(__xludf.DUMMYFUNCTION("""COMPUTED_VALUE"""),131.99)</f>
        <v>131.99</v>
      </c>
      <c r="D156" s="2">
        <f>IFERROR(__xludf.DUMMYFUNCTION("""COMPUTED_VALUE"""),129.82)</f>
        <v>129.82</v>
      </c>
      <c r="E156" s="2">
        <f>IFERROR(__xludf.DUMMYFUNCTION("""COMPUTED_VALUE"""),130.27)</f>
        <v>130.27</v>
      </c>
      <c r="F156" s="2">
        <f>IFERROR(__xludf.DUMMYFUNCTION("""COMPUTED_VALUE"""),1.4769173E7)</f>
        <v>14769173</v>
      </c>
    </row>
    <row r="157">
      <c r="A157" s="3">
        <f>IFERROR(__xludf.DUMMYFUNCTION("""COMPUTED_VALUE"""),45154.66666666667)</f>
        <v>45154.66667</v>
      </c>
      <c r="B157" s="2">
        <f>IFERROR(__xludf.DUMMYFUNCTION("""COMPUTED_VALUE"""),129.28)</f>
        <v>129.28</v>
      </c>
      <c r="C157" s="2">
        <f>IFERROR(__xludf.DUMMYFUNCTION("""COMPUTED_VALUE"""),130.9)</f>
        <v>130.9</v>
      </c>
      <c r="D157" s="2">
        <f>IFERROR(__xludf.DUMMYFUNCTION("""COMPUTED_VALUE"""),128.46)</f>
        <v>128.46</v>
      </c>
      <c r="E157" s="2">
        <f>IFERROR(__xludf.DUMMYFUNCTION("""COMPUTED_VALUE"""),129.11)</f>
        <v>129.11</v>
      </c>
      <c r="F157" s="2">
        <f>IFERROR(__xludf.DUMMYFUNCTION("""COMPUTED_VALUE"""),1.7548355E7)</f>
        <v>17548355</v>
      </c>
    </row>
    <row r="158">
      <c r="A158" s="3">
        <f>IFERROR(__xludf.DUMMYFUNCTION("""COMPUTED_VALUE"""),45155.66666666667)</f>
        <v>45155.66667</v>
      </c>
      <c r="B158" s="2">
        <f>IFERROR(__xludf.DUMMYFUNCTION("""COMPUTED_VALUE"""),130.45)</f>
        <v>130.45</v>
      </c>
      <c r="C158" s="2">
        <f>IFERROR(__xludf.DUMMYFUNCTION("""COMPUTED_VALUE"""),132.49)</f>
        <v>132.49</v>
      </c>
      <c r="D158" s="2">
        <f>IFERROR(__xludf.DUMMYFUNCTION("""COMPUTED_VALUE"""),129.85)</f>
        <v>129.85</v>
      </c>
      <c r="E158" s="2">
        <f>IFERROR(__xludf.DUMMYFUNCTION("""COMPUTED_VALUE"""),130.46)</f>
        <v>130.46</v>
      </c>
      <c r="F158" s="2">
        <f>IFERROR(__xludf.DUMMYFUNCTION("""COMPUTED_VALUE"""),2.3665562E7)</f>
        <v>23665562</v>
      </c>
    </row>
    <row r="159">
      <c r="A159" s="3">
        <f>IFERROR(__xludf.DUMMYFUNCTION("""COMPUTED_VALUE"""),45156.66666666667)</f>
        <v>45156.66667</v>
      </c>
      <c r="B159" s="2">
        <f>IFERROR(__xludf.DUMMYFUNCTION("""COMPUTED_VALUE"""),129.06)</f>
        <v>129.06</v>
      </c>
      <c r="C159" s="2">
        <f>IFERROR(__xludf.DUMMYFUNCTION("""COMPUTED_VALUE"""),129.83)</f>
        <v>129.83</v>
      </c>
      <c r="D159" s="2">
        <f>IFERROR(__xludf.DUMMYFUNCTION("""COMPUTED_VALUE"""),127.0)</f>
        <v>127</v>
      </c>
      <c r="E159" s="2">
        <f>IFERROR(__xludf.DUMMYFUNCTION("""COMPUTED_VALUE"""),128.11)</f>
        <v>128.11</v>
      </c>
      <c r="F159" s="2">
        <f>IFERROR(__xludf.DUMMYFUNCTION("""COMPUTED_VALUE"""),2.3627202E7)</f>
        <v>23627202</v>
      </c>
    </row>
    <row r="160">
      <c r="A160" s="3">
        <f>IFERROR(__xludf.DUMMYFUNCTION("""COMPUTED_VALUE"""),45159.66666666667)</f>
        <v>45159.66667</v>
      </c>
      <c r="B160" s="2">
        <f>IFERROR(__xludf.DUMMYFUNCTION("""COMPUTED_VALUE"""),127.85)</f>
        <v>127.85</v>
      </c>
      <c r="C160" s="2">
        <f>IFERROR(__xludf.DUMMYFUNCTION("""COMPUTED_VALUE"""),129.26)</f>
        <v>129.26</v>
      </c>
      <c r="D160" s="2">
        <f>IFERROR(__xludf.DUMMYFUNCTION("""COMPUTED_VALUE"""),127.16)</f>
        <v>127.16</v>
      </c>
      <c r="E160" s="2">
        <f>IFERROR(__xludf.DUMMYFUNCTION("""COMPUTED_VALUE"""),128.93)</f>
        <v>128.93</v>
      </c>
      <c r="F160" s="2">
        <f>IFERROR(__xludf.DUMMYFUNCTION("""COMPUTED_VALUE"""),2.185107E7)</f>
        <v>21851070</v>
      </c>
    </row>
    <row r="161">
      <c r="A161" s="3">
        <f>IFERROR(__xludf.DUMMYFUNCTION("""COMPUTED_VALUE"""),45160.66666666667)</f>
        <v>45160.66667</v>
      </c>
      <c r="B161" s="2">
        <f>IFERROR(__xludf.DUMMYFUNCTION("""COMPUTED_VALUE"""),129.13)</f>
        <v>129.13</v>
      </c>
      <c r="C161" s="2">
        <f>IFERROR(__xludf.DUMMYFUNCTION("""COMPUTED_VALUE"""),130.95)</f>
        <v>130.95</v>
      </c>
      <c r="D161" s="2">
        <f>IFERROR(__xludf.DUMMYFUNCTION("""COMPUTED_VALUE"""),128.93)</f>
        <v>128.93</v>
      </c>
      <c r="E161" s="2">
        <f>IFERROR(__xludf.DUMMYFUNCTION("""COMPUTED_VALUE"""),129.69)</f>
        <v>129.69</v>
      </c>
      <c r="F161" s="2">
        <f>IFERROR(__xludf.DUMMYFUNCTION("""COMPUTED_VALUE"""),1.5569373E7)</f>
        <v>15569373</v>
      </c>
    </row>
    <row r="162">
      <c r="A162" s="3">
        <f>IFERROR(__xludf.DUMMYFUNCTION("""COMPUTED_VALUE"""),45161.66666666667)</f>
        <v>45161.66667</v>
      </c>
      <c r="B162" s="2">
        <f>IFERROR(__xludf.DUMMYFUNCTION("""COMPUTED_VALUE"""),130.85)</f>
        <v>130.85</v>
      </c>
      <c r="C162" s="2">
        <f>IFERROR(__xludf.DUMMYFUNCTION("""COMPUTED_VALUE"""),134.07)</f>
        <v>134.07</v>
      </c>
      <c r="D162" s="2">
        <f>IFERROR(__xludf.DUMMYFUNCTION("""COMPUTED_VALUE"""),130.51)</f>
        <v>130.51</v>
      </c>
      <c r="E162" s="2">
        <f>IFERROR(__xludf.DUMMYFUNCTION("""COMPUTED_VALUE"""),133.21)</f>
        <v>133.21</v>
      </c>
      <c r="F162" s="2">
        <f>IFERROR(__xludf.DUMMYFUNCTION("""COMPUTED_VALUE"""),2.6497027E7)</f>
        <v>26497027</v>
      </c>
    </row>
    <row r="163">
      <c r="A163" s="3">
        <f>IFERROR(__xludf.DUMMYFUNCTION("""COMPUTED_VALUE"""),45162.66666666667)</f>
        <v>45162.66667</v>
      </c>
      <c r="B163" s="2">
        <f>IFERROR(__xludf.DUMMYFUNCTION("""COMPUTED_VALUE"""),134.73)</f>
        <v>134.73</v>
      </c>
      <c r="C163" s="2">
        <f>IFERROR(__xludf.DUMMYFUNCTION("""COMPUTED_VALUE"""),134.97)</f>
        <v>134.97</v>
      </c>
      <c r="D163" s="2">
        <f>IFERROR(__xludf.DUMMYFUNCTION("""COMPUTED_VALUE"""),130.3)</f>
        <v>130.3</v>
      </c>
      <c r="E163" s="2">
        <f>IFERROR(__xludf.DUMMYFUNCTION("""COMPUTED_VALUE"""),130.42)</f>
        <v>130.42</v>
      </c>
      <c r="F163" s="2">
        <f>IFERROR(__xludf.DUMMYFUNCTION("""COMPUTED_VALUE"""),1.8680381E7)</f>
        <v>18680381</v>
      </c>
    </row>
    <row r="164">
      <c r="A164" s="3">
        <f>IFERROR(__xludf.DUMMYFUNCTION("""COMPUTED_VALUE"""),45163.66666666667)</f>
        <v>45163.66667</v>
      </c>
      <c r="B164" s="2">
        <f>IFERROR(__xludf.DUMMYFUNCTION("""COMPUTED_VALUE"""),130.14)</f>
        <v>130.14</v>
      </c>
      <c r="C164" s="2">
        <f>IFERROR(__xludf.DUMMYFUNCTION("""COMPUTED_VALUE"""),131.4)</f>
        <v>131.4</v>
      </c>
      <c r="D164" s="2">
        <f>IFERROR(__xludf.DUMMYFUNCTION("""COMPUTED_VALUE"""),128.04)</f>
        <v>128.04</v>
      </c>
      <c r="E164" s="2">
        <f>IFERROR(__xludf.DUMMYFUNCTION("""COMPUTED_VALUE"""),130.69)</f>
        <v>130.69</v>
      </c>
      <c r="F164" s="2">
        <f>IFERROR(__xludf.DUMMYFUNCTION("""COMPUTED_VALUE"""),2.0678096E7)</f>
        <v>20678096</v>
      </c>
    </row>
    <row r="165">
      <c r="A165" s="3">
        <f>IFERROR(__xludf.DUMMYFUNCTION("""COMPUTED_VALUE"""),45166.66666666667)</f>
        <v>45166.66667</v>
      </c>
      <c r="B165" s="2">
        <f>IFERROR(__xludf.DUMMYFUNCTION("""COMPUTED_VALUE"""),132.08)</f>
        <v>132.08</v>
      </c>
      <c r="C165" s="2">
        <f>IFERROR(__xludf.DUMMYFUNCTION("""COMPUTED_VALUE"""),133.24)</f>
        <v>133.24</v>
      </c>
      <c r="D165" s="2">
        <f>IFERROR(__xludf.DUMMYFUNCTION("""COMPUTED_VALUE"""),130.85)</f>
        <v>130.85</v>
      </c>
      <c r="E165" s="2">
        <f>IFERROR(__xludf.DUMMYFUNCTION("""COMPUTED_VALUE"""),131.79)</f>
        <v>131.79</v>
      </c>
      <c r="F165" s="2">
        <f>IFERROR(__xludf.DUMMYFUNCTION("""COMPUTED_VALUE"""),1.6715467E7)</f>
        <v>16715467</v>
      </c>
    </row>
    <row r="166">
      <c r="A166" s="3">
        <f>IFERROR(__xludf.DUMMYFUNCTION("""COMPUTED_VALUE"""),45167.66666666667)</f>
        <v>45167.66667</v>
      </c>
      <c r="B166" s="2">
        <f>IFERROR(__xludf.DUMMYFUNCTION("""COMPUTED_VALUE"""),133.0)</f>
        <v>133</v>
      </c>
      <c r="C166" s="2">
        <f>IFERROR(__xludf.DUMMYFUNCTION("""COMPUTED_VALUE"""),137.29)</f>
        <v>137.29</v>
      </c>
      <c r="D166" s="2">
        <f>IFERROR(__xludf.DUMMYFUNCTION("""COMPUTED_VALUE"""),132.98)</f>
        <v>132.98</v>
      </c>
      <c r="E166" s="2">
        <f>IFERROR(__xludf.DUMMYFUNCTION("""COMPUTED_VALUE"""),135.49)</f>
        <v>135.49</v>
      </c>
      <c r="F166" s="2">
        <f>IFERROR(__xludf.DUMMYFUNCTION("""COMPUTED_VALUE"""),3.0803265E7)</f>
        <v>30803265</v>
      </c>
    </row>
    <row r="167">
      <c r="A167" s="3">
        <f>IFERROR(__xludf.DUMMYFUNCTION("""COMPUTED_VALUE"""),45168.66666666667)</f>
        <v>45168.66667</v>
      </c>
      <c r="B167" s="2">
        <f>IFERROR(__xludf.DUMMYFUNCTION("""COMPUTED_VALUE"""),135.57)</f>
        <v>135.57</v>
      </c>
      <c r="C167" s="2">
        <f>IFERROR(__xludf.DUMMYFUNCTION("""COMPUTED_VALUE"""),137.25)</f>
        <v>137.25</v>
      </c>
      <c r="D167" s="2">
        <f>IFERROR(__xludf.DUMMYFUNCTION("""COMPUTED_VALUE"""),135.02)</f>
        <v>135.02</v>
      </c>
      <c r="E167" s="2">
        <f>IFERROR(__xludf.DUMMYFUNCTION("""COMPUTED_VALUE"""),136.93)</f>
        <v>136.93</v>
      </c>
      <c r="F167" s="2">
        <f>IFERROR(__xludf.DUMMYFUNCTION("""COMPUTED_VALUE"""),2.1773356E7)</f>
        <v>21773356</v>
      </c>
    </row>
    <row r="168">
      <c r="A168" s="3">
        <f>IFERROR(__xludf.DUMMYFUNCTION("""COMPUTED_VALUE"""),45169.66666666667)</f>
        <v>45169.66667</v>
      </c>
      <c r="B168" s="2">
        <f>IFERROR(__xludf.DUMMYFUNCTION("""COMPUTED_VALUE"""),137.05)</f>
        <v>137.05</v>
      </c>
      <c r="C168" s="2">
        <f>IFERROR(__xludf.DUMMYFUNCTION("""COMPUTED_VALUE"""),138.4)</f>
        <v>138.4</v>
      </c>
      <c r="D168" s="2">
        <f>IFERROR(__xludf.DUMMYFUNCTION("""COMPUTED_VALUE"""),136.82)</f>
        <v>136.82</v>
      </c>
      <c r="E168" s="2">
        <f>IFERROR(__xludf.DUMMYFUNCTION("""COMPUTED_VALUE"""),137.35)</f>
        <v>137.35</v>
      </c>
      <c r="F168" s="2">
        <f>IFERROR(__xludf.DUMMYFUNCTION("""COMPUTED_VALUE"""),2.814785E7)</f>
        <v>28147850</v>
      </c>
    </row>
    <row r="169">
      <c r="A169" s="3">
        <f>IFERROR(__xludf.DUMMYFUNCTION("""COMPUTED_VALUE"""),45170.66666666667)</f>
        <v>45170.66667</v>
      </c>
      <c r="B169" s="2">
        <f>IFERROR(__xludf.DUMMYFUNCTION("""COMPUTED_VALUE"""),138.43)</f>
        <v>138.43</v>
      </c>
      <c r="C169" s="2">
        <f>IFERROR(__xludf.DUMMYFUNCTION("""COMPUTED_VALUE"""),138.58)</f>
        <v>138.58</v>
      </c>
      <c r="D169" s="2">
        <f>IFERROR(__xludf.DUMMYFUNCTION("""COMPUTED_VALUE"""),135.94)</f>
        <v>135.94</v>
      </c>
      <c r="E169" s="2">
        <f>IFERROR(__xludf.DUMMYFUNCTION("""COMPUTED_VALUE"""),136.8)</f>
        <v>136.8</v>
      </c>
      <c r="F169" s="2">
        <f>IFERROR(__xludf.DUMMYFUNCTION("""COMPUTED_VALUE"""),1.6671647E7)</f>
        <v>16671647</v>
      </c>
    </row>
    <row r="170">
      <c r="A170" s="3">
        <f>IFERROR(__xludf.DUMMYFUNCTION("""COMPUTED_VALUE"""),45174.66666666667)</f>
        <v>45174.66667</v>
      </c>
      <c r="B170" s="2">
        <f>IFERROR(__xludf.DUMMYFUNCTION("""COMPUTED_VALUE"""),136.44)</f>
        <v>136.44</v>
      </c>
      <c r="C170" s="2">
        <f>IFERROR(__xludf.DUMMYFUNCTION("""COMPUTED_VALUE"""),137.37)</f>
        <v>137.37</v>
      </c>
      <c r="D170" s="2">
        <f>IFERROR(__xludf.DUMMYFUNCTION("""COMPUTED_VALUE"""),135.56)</f>
        <v>135.56</v>
      </c>
      <c r="E170" s="2">
        <f>IFERROR(__xludf.DUMMYFUNCTION("""COMPUTED_VALUE"""),136.71)</f>
        <v>136.71</v>
      </c>
      <c r="F170" s="2">
        <f>IFERROR(__xludf.DUMMYFUNCTION("""COMPUTED_VALUE"""),1.7730218E7)</f>
        <v>17730218</v>
      </c>
    </row>
    <row r="171">
      <c r="A171" s="3">
        <f>IFERROR(__xludf.DUMMYFUNCTION("""COMPUTED_VALUE"""),45175.66666666667)</f>
        <v>45175.66667</v>
      </c>
      <c r="B171" s="2">
        <f>IFERROR(__xludf.DUMMYFUNCTION("""COMPUTED_VALUE"""),137.01)</f>
        <v>137.01</v>
      </c>
      <c r="C171" s="2">
        <f>IFERROR(__xludf.DUMMYFUNCTION("""COMPUTED_VALUE"""),137.48)</f>
        <v>137.48</v>
      </c>
      <c r="D171" s="2">
        <f>IFERROR(__xludf.DUMMYFUNCTION("""COMPUTED_VALUE"""),134.69)</f>
        <v>134.69</v>
      </c>
      <c r="E171" s="2">
        <f>IFERROR(__xludf.DUMMYFUNCTION("""COMPUTED_VALUE"""),135.37)</f>
        <v>135.37</v>
      </c>
      <c r="F171" s="2">
        <f>IFERROR(__xludf.DUMMYFUNCTION("""COMPUTED_VALUE"""),1.5814327E7)</f>
        <v>15814327</v>
      </c>
    </row>
    <row r="172">
      <c r="A172" s="3">
        <f>IFERROR(__xludf.DUMMYFUNCTION("""COMPUTED_VALUE"""),45176.66666666667)</f>
        <v>45176.66667</v>
      </c>
      <c r="B172" s="2">
        <f>IFERROR(__xludf.DUMMYFUNCTION("""COMPUTED_VALUE"""),134.6)</f>
        <v>134.6</v>
      </c>
      <c r="C172" s="2">
        <f>IFERROR(__xludf.DUMMYFUNCTION("""COMPUTED_VALUE"""),136.58)</f>
        <v>136.58</v>
      </c>
      <c r="D172" s="2">
        <f>IFERROR(__xludf.DUMMYFUNCTION("""COMPUTED_VALUE"""),133.96)</f>
        <v>133.96</v>
      </c>
      <c r="E172" s="2">
        <f>IFERROR(__xludf.DUMMYFUNCTION("""COMPUTED_VALUE"""),136.2)</f>
        <v>136.2</v>
      </c>
      <c r="F172" s="2">
        <f>IFERROR(__xludf.DUMMYFUNCTION("""COMPUTED_VALUE"""),1.6975956E7)</f>
        <v>16975956</v>
      </c>
    </row>
    <row r="173">
      <c r="A173" s="3">
        <f>IFERROR(__xludf.DUMMYFUNCTION("""COMPUTED_VALUE"""),45177.66666666667)</f>
        <v>45177.66667</v>
      </c>
      <c r="B173" s="2">
        <f>IFERROR(__xludf.DUMMYFUNCTION("""COMPUTED_VALUE"""),135.87)</f>
        <v>135.87</v>
      </c>
      <c r="C173" s="2">
        <f>IFERROR(__xludf.DUMMYFUNCTION("""COMPUTED_VALUE"""),137.51)</f>
        <v>137.51</v>
      </c>
      <c r="D173" s="2">
        <f>IFERROR(__xludf.DUMMYFUNCTION("""COMPUTED_VALUE"""),135.87)</f>
        <v>135.87</v>
      </c>
      <c r="E173" s="2">
        <f>IFERROR(__xludf.DUMMYFUNCTION("""COMPUTED_VALUE"""),137.2)</f>
        <v>137.2</v>
      </c>
      <c r="F173" s="2">
        <f>IFERROR(__xludf.DUMMYFUNCTION("""COMPUTED_VALUE"""),1.7820005E7)</f>
        <v>17820005</v>
      </c>
    </row>
    <row r="174">
      <c r="A174" s="3">
        <f>IFERROR(__xludf.DUMMYFUNCTION("""COMPUTED_VALUE"""),45180.66666666667)</f>
        <v>45180.66667</v>
      </c>
      <c r="B174" s="2">
        <f>IFERROR(__xludf.DUMMYFUNCTION("""COMPUTED_VALUE"""),137.38)</f>
        <v>137.38</v>
      </c>
      <c r="C174" s="2">
        <f>IFERROR(__xludf.DUMMYFUNCTION("""COMPUTED_VALUE"""),138.26)</f>
        <v>138.26</v>
      </c>
      <c r="D174" s="2">
        <f>IFERROR(__xludf.DUMMYFUNCTION("""COMPUTED_VALUE"""),136.55)</f>
        <v>136.55</v>
      </c>
      <c r="E174" s="2">
        <f>IFERROR(__xludf.DUMMYFUNCTION("""COMPUTED_VALUE"""),137.74)</f>
        <v>137.74</v>
      </c>
      <c r="F174" s="2">
        <f>IFERROR(__xludf.DUMMYFUNCTION("""COMPUTED_VALUE"""),1.7180755E7)</f>
        <v>17180755</v>
      </c>
    </row>
    <row r="175">
      <c r="A175" s="3">
        <f>IFERROR(__xludf.DUMMYFUNCTION("""COMPUTED_VALUE"""),45181.66666666667)</f>
        <v>45181.66667</v>
      </c>
      <c r="B175" s="2">
        <f>IFERROR(__xludf.DUMMYFUNCTION("""COMPUTED_VALUE"""),137.13)</f>
        <v>137.13</v>
      </c>
      <c r="C175" s="2">
        <f>IFERROR(__xludf.DUMMYFUNCTION("""COMPUTED_VALUE"""),137.64)</f>
        <v>137.64</v>
      </c>
      <c r="D175" s="2">
        <f>IFERROR(__xludf.DUMMYFUNCTION("""COMPUTED_VALUE"""),135.93)</f>
        <v>135.93</v>
      </c>
      <c r="E175" s="2">
        <f>IFERROR(__xludf.DUMMYFUNCTION("""COMPUTED_VALUE"""),136.07)</f>
        <v>136.07</v>
      </c>
      <c r="F175" s="2">
        <f>IFERROR(__xludf.DUMMYFUNCTION("""COMPUTED_VALUE"""),1.5212934E7)</f>
        <v>15212934</v>
      </c>
    </row>
    <row r="176">
      <c r="A176" s="3">
        <f>IFERROR(__xludf.DUMMYFUNCTION("""COMPUTED_VALUE"""),45182.66666666667)</f>
        <v>45182.66667</v>
      </c>
      <c r="B176" s="2">
        <f>IFERROR(__xludf.DUMMYFUNCTION("""COMPUTED_VALUE"""),135.9)</f>
        <v>135.9</v>
      </c>
      <c r="C176" s="2">
        <f>IFERROR(__xludf.DUMMYFUNCTION("""COMPUTED_VALUE"""),137.7)</f>
        <v>137.7</v>
      </c>
      <c r="D176" s="2">
        <f>IFERROR(__xludf.DUMMYFUNCTION("""COMPUTED_VALUE"""),134.93)</f>
        <v>134.93</v>
      </c>
      <c r="E176" s="2">
        <f>IFERROR(__xludf.DUMMYFUNCTION("""COMPUTED_VALUE"""),137.5)</f>
        <v>137.5</v>
      </c>
      <c r="F176" s="2">
        <f>IFERROR(__xludf.DUMMYFUNCTION("""COMPUTED_VALUE"""),1.6394915E7)</f>
        <v>16394915</v>
      </c>
    </row>
    <row r="177">
      <c r="A177" s="3">
        <f>IFERROR(__xludf.DUMMYFUNCTION("""COMPUTED_VALUE"""),45183.66666666667)</f>
        <v>45183.66667</v>
      </c>
      <c r="B177" s="2">
        <f>IFERROR(__xludf.DUMMYFUNCTION("""COMPUTED_VALUE"""),138.39)</f>
        <v>138.39</v>
      </c>
      <c r="C177" s="2">
        <f>IFERROR(__xludf.DUMMYFUNCTION("""COMPUTED_VALUE"""),139.55)</f>
        <v>139.55</v>
      </c>
      <c r="D177" s="2">
        <f>IFERROR(__xludf.DUMMYFUNCTION("""COMPUTED_VALUE"""),137.06)</f>
        <v>137.06</v>
      </c>
      <c r="E177" s="2">
        <f>IFERROR(__xludf.DUMMYFUNCTION("""COMPUTED_VALUE"""),138.99)</f>
        <v>138.99</v>
      </c>
      <c r="F177" s="2">
        <f>IFERROR(__xludf.DUMMYFUNCTION("""COMPUTED_VALUE"""),1.9064607E7)</f>
        <v>19064607</v>
      </c>
    </row>
    <row r="178">
      <c r="A178" s="3">
        <f>IFERROR(__xludf.DUMMYFUNCTION("""COMPUTED_VALUE"""),45184.66666666667)</f>
        <v>45184.66667</v>
      </c>
      <c r="B178" s="2">
        <f>IFERROR(__xludf.DUMMYFUNCTION("""COMPUTED_VALUE"""),138.8)</f>
        <v>138.8</v>
      </c>
      <c r="C178" s="2">
        <f>IFERROR(__xludf.DUMMYFUNCTION("""COMPUTED_VALUE"""),139.36)</f>
        <v>139.36</v>
      </c>
      <c r="D178" s="2">
        <f>IFERROR(__xludf.DUMMYFUNCTION("""COMPUTED_VALUE"""),137.18)</f>
        <v>137.18</v>
      </c>
      <c r="E178" s="2">
        <f>IFERROR(__xludf.DUMMYFUNCTION("""COMPUTED_VALUE"""),138.3)</f>
        <v>138.3</v>
      </c>
      <c r="F178" s="2">
        <f>IFERROR(__xludf.DUMMYFUNCTION("""COMPUTED_VALUE"""),4.8958837E7)</f>
        <v>48958837</v>
      </c>
    </row>
    <row r="179">
      <c r="A179" s="3">
        <f>IFERROR(__xludf.DUMMYFUNCTION("""COMPUTED_VALUE"""),45187.66666666667)</f>
        <v>45187.66667</v>
      </c>
      <c r="B179" s="2">
        <f>IFERROR(__xludf.DUMMYFUNCTION("""COMPUTED_VALUE"""),137.63)</f>
        <v>137.63</v>
      </c>
      <c r="C179" s="2">
        <f>IFERROR(__xludf.DUMMYFUNCTION("""COMPUTED_VALUE"""),139.93)</f>
        <v>139.93</v>
      </c>
      <c r="D179" s="2">
        <f>IFERROR(__xludf.DUMMYFUNCTION("""COMPUTED_VALUE"""),137.63)</f>
        <v>137.63</v>
      </c>
      <c r="E179" s="2">
        <f>IFERROR(__xludf.DUMMYFUNCTION("""COMPUTED_VALUE"""),138.96)</f>
        <v>138.96</v>
      </c>
      <c r="F179" s="2">
        <f>IFERROR(__xludf.DUMMYFUNCTION("""COMPUTED_VALUE"""),1.623359E7)</f>
        <v>16233590</v>
      </c>
    </row>
    <row r="180">
      <c r="A180" s="3">
        <f>IFERROR(__xludf.DUMMYFUNCTION("""COMPUTED_VALUE"""),45188.66666666667)</f>
        <v>45188.66667</v>
      </c>
      <c r="B180" s="2">
        <f>IFERROR(__xludf.DUMMYFUNCTION("""COMPUTED_VALUE"""),138.25)</f>
        <v>138.25</v>
      </c>
      <c r="C180" s="2">
        <f>IFERROR(__xludf.DUMMYFUNCTION("""COMPUTED_VALUE"""),139.18)</f>
        <v>139.18</v>
      </c>
      <c r="D180" s="2">
        <f>IFERROR(__xludf.DUMMYFUNCTION("""COMPUTED_VALUE"""),137.5)</f>
        <v>137.5</v>
      </c>
      <c r="E180" s="2">
        <f>IFERROR(__xludf.DUMMYFUNCTION("""COMPUTED_VALUE"""),138.83)</f>
        <v>138.83</v>
      </c>
      <c r="F180" s="2">
        <f>IFERROR(__xludf.DUMMYFUNCTION("""COMPUTED_VALUE"""),1.5484644E7)</f>
        <v>15484644</v>
      </c>
    </row>
    <row r="181">
      <c r="A181" s="3">
        <f>IFERROR(__xludf.DUMMYFUNCTION("""COMPUTED_VALUE"""),45189.66666666667)</f>
        <v>45189.66667</v>
      </c>
      <c r="B181" s="2">
        <f>IFERROR(__xludf.DUMMYFUNCTION("""COMPUTED_VALUE"""),138.83)</f>
        <v>138.83</v>
      </c>
      <c r="C181" s="2">
        <f>IFERROR(__xludf.DUMMYFUNCTION("""COMPUTED_VALUE"""),138.84)</f>
        <v>138.84</v>
      </c>
      <c r="D181" s="2">
        <f>IFERROR(__xludf.DUMMYFUNCTION("""COMPUTED_VALUE"""),134.52)</f>
        <v>134.52</v>
      </c>
      <c r="E181" s="2">
        <f>IFERROR(__xludf.DUMMYFUNCTION("""COMPUTED_VALUE"""),134.59)</f>
        <v>134.59</v>
      </c>
      <c r="F181" s="2">
        <f>IFERROR(__xludf.DUMMYFUNCTION("""COMPUTED_VALUE"""),2.1473533E7)</f>
        <v>21473533</v>
      </c>
    </row>
    <row r="182">
      <c r="A182" s="3">
        <f>IFERROR(__xludf.DUMMYFUNCTION("""COMPUTED_VALUE"""),45190.66666666667)</f>
        <v>45190.66667</v>
      </c>
      <c r="B182" s="2">
        <f>IFERROR(__xludf.DUMMYFUNCTION("""COMPUTED_VALUE"""),132.39)</f>
        <v>132.39</v>
      </c>
      <c r="C182" s="2">
        <f>IFERROR(__xludf.DUMMYFUNCTION("""COMPUTED_VALUE"""),133.19)</f>
        <v>133.19</v>
      </c>
      <c r="D182" s="2">
        <f>IFERROR(__xludf.DUMMYFUNCTION("""COMPUTED_VALUE"""),131.09)</f>
        <v>131.09</v>
      </c>
      <c r="E182" s="2">
        <f>IFERROR(__xludf.DUMMYFUNCTION("""COMPUTED_VALUE"""),131.36)</f>
        <v>131.36</v>
      </c>
      <c r="F182" s="2">
        <f>IFERROR(__xludf.DUMMYFUNCTION("""COMPUTED_VALUE"""),2.2058375E7)</f>
        <v>22058375</v>
      </c>
    </row>
    <row r="183">
      <c r="A183" s="3">
        <f>IFERROR(__xludf.DUMMYFUNCTION("""COMPUTED_VALUE"""),45191.66666666667)</f>
        <v>45191.66667</v>
      </c>
      <c r="B183" s="2">
        <f>IFERROR(__xludf.DUMMYFUNCTION("""COMPUTED_VALUE"""),131.68)</f>
        <v>131.68</v>
      </c>
      <c r="C183" s="2">
        <f>IFERROR(__xludf.DUMMYFUNCTION("""COMPUTED_VALUE"""),133.01)</f>
        <v>133.01</v>
      </c>
      <c r="D183" s="2">
        <f>IFERROR(__xludf.DUMMYFUNCTION("""COMPUTED_VALUE"""),130.51)</f>
        <v>130.51</v>
      </c>
      <c r="E183" s="2">
        <f>IFERROR(__xludf.DUMMYFUNCTION("""COMPUTED_VALUE"""),131.25)</f>
        <v>131.25</v>
      </c>
      <c r="F183" s="2">
        <f>IFERROR(__xludf.DUMMYFUNCTION("""COMPUTED_VALUE"""),1.7355284E7)</f>
        <v>17355284</v>
      </c>
    </row>
    <row r="184">
      <c r="A184" s="3">
        <f>IFERROR(__xludf.DUMMYFUNCTION("""COMPUTED_VALUE"""),45194.66666666667)</f>
        <v>45194.66667</v>
      </c>
      <c r="B184" s="2">
        <f>IFERROR(__xludf.DUMMYFUNCTION("""COMPUTED_VALUE"""),130.77)</f>
        <v>130.77</v>
      </c>
      <c r="C184" s="2">
        <f>IFERROR(__xludf.DUMMYFUNCTION("""COMPUTED_VALUE"""),132.22)</f>
        <v>132.22</v>
      </c>
      <c r="D184" s="2">
        <f>IFERROR(__xludf.DUMMYFUNCTION("""COMPUTED_VALUE"""),130.03)</f>
        <v>130.03</v>
      </c>
      <c r="E184" s="2">
        <f>IFERROR(__xludf.DUMMYFUNCTION("""COMPUTED_VALUE"""),132.17)</f>
        <v>132.17</v>
      </c>
      <c r="F184" s="2">
        <f>IFERROR(__xludf.DUMMYFUNCTION("""COMPUTED_VALUE"""),1.4650032E7)</f>
        <v>14650032</v>
      </c>
    </row>
    <row r="185">
      <c r="A185" s="3">
        <f>IFERROR(__xludf.DUMMYFUNCTION("""COMPUTED_VALUE"""),45195.66666666667)</f>
        <v>45195.66667</v>
      </c>
      <c r="B185" s="2">
        <f>IFERROR(__xludf.DUMMYFUNCTION("""COMPUTED_VALUE"""),130.91)</f>
        <v>130.91</v>
      </c>
      <c r="C185" s="2">
        <f>IFERROR(__xludf.DUMMYFUNCTION("""COMPUTED_VALUE"""),131.41)</f>
        <v>131.41</v>
      </c>
      <c r="D185" s="2">
        <f>IFERROR(__xludf.DUMMYFUNCTION("""COMPUTED_VALUE"""),128.19)</f>
        <v>128.19</v>
      </c>
      <c r="E185" s="2">
        <f>IFERROR(__xludf.DUMMYFUNCTION("""COMPUTED_VALUE"""),129.45)</f>
        <v>129.45</v>
      </c>
      <c r="F185" s="2">
        <f>IFERROR(__xludf.DUMMYFUNCTION("""COMPUTED_VALUE"""),2.0378789E7)</f>
        <v>20378789</v>
      </c>
    </row>
    <row r="186">
      <c r="A186" s="3">
        <f>IFERROR(__xludf.DUMMYFUNCTION("""COMPUTED_VALUE"""),45196.66666666667)</f>
        <v>45196.66667</v>
      </c>
      <c r="B186" s="2">
        <f>IFERROR(__xludf.DUMMYFUNCTION("""COMPUTED_VALUE"""),129.44)</f>
        <v>129.44</v>
      </c>
      <c r="C186" s="2">
        <f>IFERROR(__xludf.DUMMYFUNCTION("""COMPUTED_VALUE"""),131.72)</f>
        <v>131.72</v>
      </c>
      <c r="D186" s="2">
        <f>IFERROR(__xludf.DUMMYFUNCTION("""COMPUTED_VALUE"""),129.38)</f>
        <v>129.38</v>
      </c>
      <c r="E186" s="2">
        <f>IFERROR(__xludf.DUMMYFUNCTION("""COMPUTED_VALUE"""),131.46)</f>
        <v>131.46</v>
      </c>
      <c r="F186" s="2">
        <f>IFERROR(__xludf.DUMMYFUNCTION("""COMPUTED_VALUE"""),1.8764201E7)</f>
        <v>18764201</v>
      </c>
    </row>
    <row r="187">
      <c r="A187" s="3">
        <f>IFERROR(__xludf.DUMMYFUNCTION("""COMPUTED_VALUE"""),45197.66666666667)</f>
        <v>45197.66667</v>
      </c>
      <c r="B187" s="2">
        <f>IFERROR(__xludf.DUMMYFUNCTION("""COMPUTED_VALUE"""),130.69)</f>
        <v>130.69</v>
      </c>
      <c r="C187" s="2">
        <f>IFERROR(__xludf.DUMMYFUNCTION("""COMPUTED_VALUE"""),134.18)</f>
        <v>134.18</v>
      </c>
      <c r="D187" s="2">
        <f>IFERROR(__xludf.DUMMYFUNCTION("""COMPUTED_VALUE"""),130.69)</f>
        <v>130.69</v>
      </c>
      <c r="E187" s="2">
        <f>IFERROR(__xludf.DUMMYFUNCTION("""COMPUTED_VALUE"""),133.13)</f>
        <v>133.13</v>
      </c>
      <c r="F187" s="2">
        <f>IFERROR(__xludf.DUMMYFUNCTION("""COMPUTED_VALUE"""),1.8201389E7)</f>
        <v>18201389</v>
      </c>
    </row>
    <row r="188">
      <c r="A188" s="3">
        <f>IFERROR(__xludf.DUMMYFUNCTION("""COMPUTED_VALUE"""),45198.66666666667)</f>
        <v>45198.66667</v>
      </c>
      <c r="B188" s="2">
        <f>IFERROR(__xludf.DUMMYFUNCTION("""COMPUTED_VALUE"""),134.08)</f>
        <v>134.08</v>
      </c>
      <c r="C188" s="2">
        <f>IFERROR(__xludf.DUMMYFUNCTION("""COMPUTED_VALUE"""),134.89)</f>
        <v>134.89</v>
      </c>
      <c r="D188" s="2">
        <f>IFERROR(__xludf.DUMMYFUNCTION("""COMPUTED_VALUE"""),131.32)</f>
        <v>131.32</v>
      </c>
      <c r="E188" s="2">
        <f>IFERROR(__xludf.DUMMYFUNCTION("""COMPUTED_VALUE"""),131.85)</f>
        <v>131.85</v>
      </c>
      <c r="F188" s="2">
        <f>IFERROR(__xludf.DUMMYFUNCTION("""COMPUTED_VALUE"""),2.3237336E7)</f>
        <v>23237336</v>
      </c>
    </row>
    <row r="189">
      <c r="A189" s="3">
        <f>IFERROR(__xludf.DUMMYFUNCTION("""COMPUTED_VALUE"""),45201.66666666667)</f>
        <v>45201.66667</v>
      </c>
      <c r="B189" s="2">
        <f>IFERROR(__xludf.DUMMYFUNCTION("""COMPUTED_VALUE"""),132.16)</f>
        <v>132.16</v>
      </c>
      <c r="C189" s="2">
        <f>IFERROR(__xludf.DUMMYFUNCTION("""COMPUTED_VALUE"""),135.36)</f>
        <v>135.36</v>
      </c>
      <c r="D189" s="2">
        <f>IFERROR(__xludf.DUMMYFUNCTION("""COMPUTED_VALUE"""),132.07)</f>
        <v>132.07</v>
      </c>
      <c r="E189" s="2">
        <f>IFERROR(__xludf.DUMMYFUNCTION("""COMPUTED_VALUE"""),135.17)</f>
        <v>135.17</v>
      </c>
      <c r="F189" s="2">
        <f>IFERROR(__xludf.DUMMYFUNCTION("""COMPUTED_VALUE"""),1.9210394E7)</f>
        <v>19210394</v>
      </c>
    </row>
    <row r="190">
      <c r="A190" s="3">
        <f>IFERROR(__xludf.DUMMYFUNCTION("""COMPUTED_VALUE"""),45202.66666666667)</f>
        <v>45202.66667</v>
      </c>
      <c r="B190" s="2">
        <f>IFERROR(__xludf.DUMMYFUNCTION("""COMPUTED_VALUE"""),134.93)</f>
        <v>134.93</v>
      </c>
      <c r="C190" s="2">
        <f>IFERROR(__xludf.DUMMYFUNCTION("""COMPUTED_VALUE"""),135.24)</f>
        <v>135.24</v>
      </c>
      <c r="D190" s="2">
        <f>IFERROR(__xludf.DUMMYFUNCTION("""COMPUTED_VALUE"""),132.82)</f>
        <v>132.82</v>
      </c>
      <c r="E190" s="2">
        <f>IFERROR(__xludf.DUMMYFUNCTION("""COMPUTED_VALUE"""),133.3)</f>
        <v>133.3</v>
      </c>
      <c r="F190" s="2">
        <f>IFERROR(__xludf.DUMMYFUNCTION("""COMPUTED_VALUE"""),1.9628736E7)</f>
        <v>19628736</v>
      </c>
    </row>
    <row r="191">
      <c r="A191" s="3">
        <f>IFERROR(__xludf.DUMMYFUNCTION("""COMPUTED_VALUE"""),45203.66666666667)</f>
        <v>45203.66667</v>
      </c>
      <c r="B191" s="2">
        <f>IFERROR(__xludf.DUMMYFUNCTION("""COMPUTED_VALUE"""),133.66)</f>
        <v>133.66</v>
      </c>
      <c r="C191" s="2">
        <f>IFERROR(__xludf.DUMMYFUNCTION("""COMPUTED_VALUE"""),136.57)</f>
        <v>136.57</v>
      </c>
      <c r="D191" s="2">
        <f>IFERROR(__xludf.DUMMYFUNCTION("""COMPUTED_VALUE"""),133.43)</f>
        <v>133.43</v>
      </c>
      <c r="E191" s="2">
        <f>IFERROR(__xludf.DUMMYFUNCTION("""COMPUTED_VALUE"""),136.27)</f>
        <v>136.27</v>
      </c>
      <c r="F191" s="2">
        <f>IFERROR(__xludf.DUMMYFUNCTION("""COMPUTED_VALUE"""),2.2847987E7)</f>
        <v>22847987</v>
      </c>
    </row>
    <row r="192">
      <c r="A192" s="3">
        <f>IFERROR(__xludf.DUMMYFUNCTION("""COMPUTED_VALUE"""),45204.66666666667)</f>
        <v>45204.66667</v>
      </c>
      <c r="B192" s="2">
        <f>IFERROR(__xludf.DUMMYFUNCTION("""COMPUTED_VALUE"""),136.13)</f>
        <v>136.13</v>
      </c>
      <c r="C192" s="2">
        <f>IFERROR(__xludf.DUMMYFUNCTION("""COMPUTED_VALUE"""),136.5)</f>
        <v>136.5</v>
      </c>
      <c r="D192" s="2">
        <f>IFERROR(__xludf.DUMMYFUNCTION("""COMPUTED_VALUE"""),134.46)</f>
        <v>134.46</v>
      </c>
      <c r="E192" s="2">
        <f>IFERROR(__xludf.DUMMYFUNCTION("""COMPUTED_VALUE"""),135.99)</f>
        <v>135.99</v>
      </c>
      <c r="F192" s="2">
        <f>IFERROR(__xludf.DUMMYFUNCTION("""COMPUTED_VALUE"""),1.5922944E7)</f>
        <v>15922944</v>
      </c>
    </row>
    <row r="193">
      <c r="A193" s="3">
        <f>IFERROR(__xludf.DUMMYFUNCTION("""COMPUTED_VALUE"""),45205.66666666667)</f>
        <v>45205.66667</v>
      </c>
      <c r="B193" s="2">
        <f>IFERROR(__xludf.DUMMYFUNCTION("""COMPUTED_VALUE"""),134.94)</f>
        <v>134.94</v>
      </c>
      <c r="C193" s="2">
        <f>IFERROR(__xludf.DUMMYFUNCTION("""COMPUTED_VALUE"""),139.19)</f>
        <v>139.19</v>
      </c>
      <c r="D193" s="2">
        <f>IFERROR(__xludf.DUMMYFUNCTION("""COMPUTED_VALUE"""),134.94)</f>
        <v>134.94</v>
      </c>
      <c r="E193" s="2">
        <f>IFERROR(__xludf.DUMMYFUNCTION("""COMPUTED_VALUE"""),138.73)</f>
        <v>138.73</v>
      </c>
      <c r="F193" s="2">
        <f>IFERROR(__xludf.DUMMYFUNCTION("""COMPUTED_VALUE"""),2.0826683E7)</f>
        <v>20826683</v>
      </c>
    </row>
    <row r="194">
      <c r="A194" s="3">
        <f>IFERROR(__xludf.DUMMYFUNCTION("""COMPUTED_VALUE"""),45208.66666666667)</f>
        <v>45208.66667</v>
      </c>
      <c r="B194" s="2">
        <f>IFERROR(__xludf.DUMMYFUNCTION("""COMPUTED_VALUE"""),137.99)</f>
        <v>137.99</v>
      </c>
      <c r="C194" s="2">
        <f>IFERROR(__xludf.DUMMYFUNCTION("""COMPUTED_VALUE"""),139.97)</f>
        <v>139.97</v>
      </c>
      <c r="D194" s="2">
        <f>IFERROR(__xludf.DUMMYFUNCTION("""COMPUTED_VALUE"""),136.7)</f>
        <v>136.7</v>
      </c>
      <c r="E194" s="2">
        <f>IFERROR(__xludf.DUMMYFUNCTION("""COMPUTED_VALUE"""),139.5)</f>
        <v>139.5</v>
      </c>
      <c r="F194" s="2">
        <f>IFERROR(__xludf.DUMMYFUNCTION("""COMPUTED_VALUE"""),1.6599099E7)</f>
        <v>16599099</v>
      </c>
    </row>
    <row r="195">
      <c r="A195" s="3">
        <f>IFERROR(__xludf.DUMMYFUNCTION("""COMPUTED_VALUE"""),45209.66666666667)</f>
        <v>45209.66667</v>
      </c>
      <c r="B195" s="2">
        <f>IFERROR(__xludf.DUMMYFUNCTION("""COMPUTED_VALUE"""),139.51)</f>
        <v>139.51</v>
      </c>
      <c r="C195" s="2">
        <f>IFERROR(__xludf.DUMMYFUNCTION("""COMPUTED_VALUE"""),140.74)</f>
        <v>140.74</v>
      </c>
      <c r="D195" s="2">
        <f>IFERROR(__xludf.DUMMYFUNCTION("""COMPUTED_VALUE"""),138.43)</f>
        <v>138.43</v>
      </c>
      <c r="E195" s="2">
        <f>IFERROR(__xludf.DUMMYFUNCTION("""COMPUTED_VALUE"""),139.2)</f>
        <v>139.2</v>
      </c>
      <c r="F195" s="2">
        <f>IFERROR(__xludf.DUMMYFUNCTION("""COMPUTED_VALUE"""),1.9554916E7)</f>
        <v>19554916</v>
      </c>
    </row>
    <row r="196">
      <c r="A196" s="3">
        <f>IFERROR(__xludf.DUMMYFUNCTION("""COMPUTED_VALUE"""),45210.66666666667)</f>
        <v>45210.66667</v>
      </c>
      <c r="B196" s="2">
        <f>IFERROR(__xludf.DUMMYFUNCTION("""COMPUTED_VALUE"""),139.85)</f>
        <v>139.85</v>
      </c>
      <c r="C196" s="2">
        <f>IFERROR(__xludf.DUMMYFUNCTION("""COMPUTED_VALUE"""),142.22)</f>
        <v>142.22</v>
      </c>
      <c r="D196" s="2">
        <f>IFERROR(__xludf.DUMMYFUNCTION("""COMPUTED_VALUE"""),139.84)</f>
        <v>139.84</v>
      </c>
      <c r="E196" s="2">
        <f>IFERROR(__xludf.DUMMYFUNCTION("""COMPUTED_VALUE"""),141.7)</f>
        <v>141.7</v>
      </c>
      <c r="F196" s="2">
        <f>IFERROR(__xludf.DUMMYFUNCTION("""COMPUTED_VALUE"""),2.0146341E7)</f>
        <v>20146341</v>
      </c>
    </row>
    <row r="197">
      <c r="A197" s="3">
        <f>IFERROR(__xludf.DUMMYFUNCTION("""COMPUTED_VALUE"""),45211.66666666667)</f>
        <v>45211.66667</v>
      </c>
      <c r="B197" s="2">
        <f>IFERROR(__xludf.DUMMYFUNCTION("""COMPUTED_VALUE"""),142.16)</f>
        <v>142.16</v>
      </c>
      <c r="C197" s="2">
        <f>IFERROR(__xludf.DUMMYFUNCTION("""COMPUTED_VALUE"""),142.38)</f>
        <v>142.38</v>
      </c>
      <c r="D197" s="2">
        <f>IFERROR(__xludf.DUMMYFUNCTION("""COMPUTED_VALUE"""),139.45)</f>
        <v>139.45</v>
      </c>
      <c r="E197" s="2">
        <f>IFERROR(__xludf.DUMMYFUNCTION("""COMPUTED_VALUE"""),140.29)</f>
        <v>140.29</v>
      </c>
      <c r="F197" s="2">
        <f>IFERROR(__xludf.DUMMYFUNCTION("""COMPUTED_VALUE"""),1.8173107E7)</f>
        <v>18173107</v>
      </c>
    </row>
    <row r="198">
      <c r="A198" s="3">
        <f>IFERROR(__xludf.DUMMYFUNCTION("""COMPUTED_VALUE"""),45212.66666666667)</f>
        <v>45212.66667</v>
      </c>
      <c r="B198" s="2">
        <f>IFERROR(__xludf.DUMMYFUNCTION("""COMPUTED_VALUE"""),140.65)</f>
        <v>140.65</v>
      </c>
      <c r="C198" s="2">
        <f>IFERROR(__xludf.DUMMYFUNCTION("""COMPUTED_VALUE"""),141.34)</f>
        <v>141.34</v>
      </c>
      <c r="D198" s="2">
        <f>IFERROR(__xludf.DUMMYFUNCTION("""COMPUTED_VALUE"""),137.97)</f>
        <v>137.97</v>
      </c>
      <c r="E198" s="2">
        <f>IFERROR(__xludf.DUMMYFUNCTION("""COMPUTED_VALUE"""),138.58)</f>
        <v>138.58</v>
      </c>
      <c r="F198" s="2">
        <f>IFERROR(__xludf.DUMMYFUNCTION("""COMPUTED_VALUE"""),1.9447565E7)</f>
        <v>19447565</v>
      </c>
    </row>
    <row r="199">
      <c r="A199" s="3">
        <f>IFERROR(__xludf.DUMMYFUNCTION("""COMPUTED_VALUE"""),45215.66666666667)</f>
        <v>45215.66667</v>
      </c>
      <c r="B199" s="2">
        <f>IFERROR(__xludf.DUMMYFUNCTION("""COMPUTED_VALUE"""),139.73)</f>
        <v>139.73</v>
      </c>
      <c r="C199" s="2">
        <f>IFERROR(__xludf.DUMMYFUNCTION("""COMPUTED_VALUE"""),140.91)</f>
        <v>140.91</v>
      </c>
      <c r="D199" s="2">
        <f>IFERROR(__xludf.DUMMYFUNCTION("""COMPUTED_VALUE"""),139.32)</f>
        <v>139.32</v>
      </c>
      <c r="E199" s="2">
        <f>IFERROR(__xludf.DUMMYFUNCTION("""COMPUTED_VALUE"""),140.49)</f>
        <v>140.49</v>
      </c>
      <c r="F199" s="2">
        <f>IFERROR(__xludf.DUMMYFUNCTION("""COMPUTED_VALUE"""),1.7345556E7)</f>
        <v>17345556</v>
      </c>
    </row>
    <row r="200">
      <c r="A200" s="3">
        <f>IFERROR(__xludf.DUMMYFUNCTION("""COMPUTED_VALUE"""),45216.66666666667)</f>
        <v>45216.66667</v>
      </c>
      <c r="B200" s="2">
        <f>IFERROR(__xludf.DUMMYFUNCTION("""COMPUTED_VALUE"""),140.03)</f>
        <v>140.03</v>
      </c>
      <c r="C200" s="2">
        <f>IFERROR(__xludf.DUMMYFUNCTION("""COMPUTED_VALUE"""),141.25)</f>
        <v>141.25</v>
      </c>
      <c r="D200" s="2">
        <f>IFERROR(__xludf.DUMMYFUNCTION("""COMPUTED_VALUE"""),138.53)</f>
        <v>138.53</v>
      </c>
      <c r="E200" s="2">
        <f>IFERROR(__xludf.DUMMYFUNCTION("""COMPUTED_VALUE"""),140.99)</f>
        <v>140.99</v>
      </c>
      <c r="F200" s="2">
        <f>IFERROR(__xludf.DUMMYFUNCTION("""COMPUTED_VALUE"""),1.7424024E7)</f>
        <v>17424024</v>
      </c>
    </row>
    <row r="201">
      <c r="A201" s="3">
        <f>IFERROR(__xludf.DUMMYFUNCTION("""COMPUTED_VALUE"""),45217.66666666667)</f>
        <v>45217.66667</v>
      </c>
      <c r="B201" s="2">
        <f>IFERROR(__xludf.DUMMYFUNCTION("""COMPUTED_VALUE"""),140.75)</f>
        <v>140.75</v>
      </c>
      <c r="C201" s="2">
        <f>IFERROR(__xludf.DUMMYFUNCTION("""COMPUTED_VALUE"""),141.99)</f>
        <v>141.99</v>
      </c>
      <c r="D201" s="2">
        <f>IFERROR(__xludf.DUMMYFUNCTION("""COMPUTED_VALUE"""),138.71)</f>
        <v>138.71</v>
      </c>
      <c r="E201" s="2">
        <f>IFERROR(__xludf.DUMMYFUNCTION("""COMPUTED_VALUE"""),139.28)</f>
        <v>139.28</v>
      </c>
      <c r="F201" s="2">
        <f>IFERROR(__xludf.DUMMYFUNCTION("""COMPUTED_VALUE"""),1.8304869E7)</f>
        <v>18304869</v>
      </c>
    </row>
    <row r="202">
      <c r="A202" s="3">
        <f>IFERROR(__xludf.DUMMYFUNCTION("""COMPUTED_VALUE"""),45218.66666666667)</f>
        <v>45218.66667</v>
      </c>
      <c r="B202" s="2">
        <f>IFERROR(__xludf.DUMMYFUNCTION("""COMPUTED_VALUE"""),139.8)</f>
        <v>139.8</v>
      </c>
      <c r="C202" s="2">
        <f>IFERROR(__xludf.DUMMYFUNCTION("""COMPUTED_VALUE"""),141.01)</f>
        <v>141.01</v>
      </c>
      <c r="D202" s="2">
        <f>IFERROR(__xludf.DUMMYFUNCTION("""COMPUTED_VALUE"""),138.6)</f>
        <v>138.6</v>
      </c>
      <c r="E202" s="2">
        <f>IFERROR(__xludf.DUMMYFUNCTION("""COMPUTED_VALUE"""),138.98)</f>
        <v>138.98</v>
      </c>
      <c r="F202" s="2">
        <f>IFERROR(__xludf.DUMMYFUNCTION("""COMPUTED_VALUE"""),2.1831181E7)</f>
        <v>21831181</v>
      </c>
    </row>
    <row r="203">
      <c r="A203" s="3">
        <f>IFERROR(__xludf.DUMMYFUNCTION("""COMPUTED_VALUE"""),45219.66666666667)</f>
        <v>45219.66667</v>
      </c>
      <c r="B203" s="2">
        <f>IFERROR(__xludf.DUMMYFUNCTION("""COMPUTED_VALUE"""),138.59)</f>
        <v>138.59</v>
      </c>
      <c r="C203" s="2">
        <f>IFERROR(__xludf.DUMMYFUNCTION("""COMPUTED_VALUE"""),139.04)</f>
        <v>139.04</v>
      </c>
      <c r="D203" s="2">
        <f>IFERROR(__xludf.DUMMYFUNCTION("""COMPUTED_VALUE"""),136.25)</f>
        <v>136.25</v>
      </c>
      <c r="E203" s="2">
        <f>IFERROR(__xludf.DUMMYFUNCTION("""COMPUTED_VALUE"""),136.74)</f>
        <v>136.74</v>
      </c>
      <c r="F203" s="2">
        <f>IFERROR(__xludf.DUMMYFUNCTION("""COMPUTED_VALUE"""),2.4970263E7)</f>
        <v>24970263</v>
      </c>
    </row>
    <row r="204">
      <c r="A204" s="3">
        <f>IFERROR(__xludf.DUMMYFUNCTION("""COMPUTED_VALUE"""),45222.66666666667)</f>
        <v>45222.66667</v>
      </c>
      <c r="B204" s="2">
        <f>IFERROR(__xludf.DUMMYFUNCTION("""COMPUTED_VALUE"""),136.23)</f>
        <v>136.23</v>
      </c>
      <c r="C204" s="2">
        <f>IFERROR(__xludf.DUMMYFUNCTION("""COMPUTED_VALUE"""),139.02)</f>
        <v>139.02</v>
      </c>
      <c r="D204" s="2">
        <f>IFERROR(__xludf.DUMMYFUNCTION("""COMPUTED_VALUE"""),135.11)</f>
        <v>135.11</v>
      </c>
      <c r="E204" s="2">
        <f>IFERROR(__xludf.DUMMYFUNCTION("""COMPUTED_VALUE"""),137.9)</f>
        <v>137.9</v>
      </c>
      <c r="F204" s="2">
        <f>IFERROR(__xludf.DUMMYFUNCTION("""COMPUTED_VALUE"""),2.0780665E7)</f>
        <v>20780665</v>
      </c>
    </row>
    <row r="205">
      <c r="A205" s="3">
        <f>IFERROR(__xludf.DUMMYFUNCTION("""COMPUTED_VALUE"""),45223.66666666667)</f>
        <v>45223.66667</v>
      </c>
      <c r="B205" s="2">
        <f>IFERROR(__xludf.DUMMYFUNCTION("""COMPUTED_VALUE"""),139.16)</f>
        <v>139.16</v>
      </c>
      <c r="C205" s="2">
        <f>IFERROR(__xludf.DUMMYFUNCTION("""COMPUTED_VALUE"""),140.71)</f>
        <v>140.71</v>
      </c>
      <c r="D205" s="2">
        <f>IFERROR(__xludf.DUMMYFUNCTION("""COMPUTED_VALUE"""),138.75)</f>
        <v>138.75</v>
      </c>
      <c r="E205" s="2">
        <f>IFERROR(__xludf.DUMMYFUNCTION("""COMPUTED_VALUE"""),140.12)</f>
        <v>140.12</v>
      </c>
      <c r="F205" s="2">
        <f>IFERROR(__xludf.DUMMYFUNCTION("""COMPUTED_VALUE"""),2.6535198E7)</f>
        <v>26535198</v>
      </c>
    </row>
    <row r="206">
      <c r="A206" s="3">
        <f>IFERROR(__xludf.DUMMYFUNCTION("""COMPUTED_VALUE"""),45224.66666666667)</f>
        <v>45224.66667</v>
      </c>
      <c r="B206" s="2">
        <f>IFERROR(__xludf.DUMMYFUNCTION("""COMPUTED_VALUE"""),129.77)</f>
        <v>129.77</v>
      </c>
      <c r="C206" s="2">
        <f>IFERROR(__xludf.DUMMYFUNCTION("""COMPUTED_VALUE"""),130.1)</f>
        <v>130.1</v>
      </c>
      <c r="D206" s="2">
        <f>IFERROR(__xludf.DUMMYFUNCTION("""COMPUTED_VALUE"""),126.09)</f>
        <v>126.09</v>
      </c>
      <c r="E206" s="2">
        <f>IFERROR(__xludf.DUMMYFUNCTION("""COMPUTED_VALUE"""),126.67)</f>
        <v>126.67</v>
      </c>
      <c r="F206" s="2">
        <f>IFERROR(__xludf.DUMMYFUNCTION("""COMPUTED_VALUE"""),5.8796067E7)</f>
        <v>58796067</v>
      </c>
    </row>
    <row r="207">
      <c r="A207" s="3">
        <f>IFERROR(__xludf.DUMMYFUNCTION("""COMPUTED_VALUE"""),45225.66666666667)</f>
        <v>45225.66667</v>
      </c>
      <c r="B207" s="2">
        <f>IFERROR(__xludf.DUMMYFUNCTION("""COMPUTED_VALUE"""),124.47)</f>
        <v>124.47</v>
      </c>
      <c r="C207" s="2">
        <f>IFERROR(__xludf.DUMMYFUNCTION("""COMPUTED_VALUE"""),125.46)</f>
        <v>125.46</v>
      </c>
      <c r="D207" s="2">
        <f>IFERROR(__xludf.DUMMYFUNCTION("""COMPUTED_VALUE"""),122.32)</f>
        <v>122.32</v>
      </c>
      <c r="E207" s="2">
        <f>IFERROR(__xludf.DUMMYFUNCTION("""COMPUTED_VALUE"""),123.44)</f>
        <v>123.44</v>
      </c>
      <c r="F207" s="2">
        <f>IFERROR(__xludf.DUMMYFUNCTION("""COMPUTED_VALUE"""),3.3907363E7)</f>
        <v>33907363</v>
      </c>
    </row>
    <row r="208">
      <c r="A208" s="3">
        <f>IFERROR(__xludf.DUMMYFUNCTION("""COMPUTED_VALUE"""),45226.66666666667)</f>
        <v>45226.66667</v>
      </c>
      <c r="B208" s="2">
        <f>IFERROR(__xludf.DUMMYFUNCTION("""COMPUTED_VALUE"""),124.03)</f>
        <v>124.03</v>
      </c>
      <c r="C208" s="2">
        <f>IFERROR(__xludf.DUMMYFUNCTION("""COMPUTED_VALUE"""),124.44)</f>
        <v>124.44</v>
      </c>
      <c r="D208" s="2">
        <f>IFERROR(__xludf.DUMMYFUNCTION("""COMPUTED_VALUE"""),121.46)</f>
        <v>121.46</v>
      </c>
      <c r="E208" s="2">
        <f>IFERROR(__xludf.DUMMYFUNCTION("""COMPUTED_VALUE"""),123.4)</f>
        <v>123.4</v>
      </c>
      <c r="F208" s="2">
        <f>IFERROR(__xludf.DUMMYFUNCTION("""COMPUTED_VALUE"""),3.7367673E7)</f>
        <v>37367673</v>
      </c>
    </row>
    <row r="209">
      <c r="A209" s="3">
        <f>IFERROR(__xludf.DUMMYFUNCTION("""COMPUTED_VALUE"""),45229.66666666667)</f>
        <v>45229.66667</v>
      </c>
      <c r="B209" s="2">
        <f>IFERROR(__xludf.DUMMYFUNCTION("""COMPUTED_VALUE"""),124.46)</f>
        <v>124.46</v>
      </c>
      <c r="C209" s="2">
        <f>IFERROR(__xludf.DUMMYFUNCTION("""COMPUTED_VALUE"""),126.55)</f>
        <v>126.55</v>
      </c>
      <c r="D209" s="2">
        <f>IFERROR(__xludf.DUMMYFUNCTION("""COMPUTED_VALUE"""),123.88)</f>
        <v>123.88</v>
      </c>
      <c r="E209" s="2">
        <f>IFERROR(__xludf.DUMMYFUNCTION("""COMPUTED_VALUE"""),125.75)</f>
        <v>125.75</v>
      </c>
      <c r="F209" s="2">
        <f>IFERROR(__xludf.DUMMYFUNCTION("""COMPUTED_VALUE"""),2.4165631E7)</f>
        <v>24165631</v>
      </c>
    </row>
    <row r="210">
      <c r="A210" s="3">
        <f>IFERROR(__xludf.DUMMYFUNCTION("""COMPUTED_VALUE"""),45230.66666666667)</f>
        <v>45230.66667</v>
      </c>
      <c r="B210" s="2">
        <f>IFERROR(__xludf.DUMMYFUNCTION("""COMPUTED_VALUE"""),126.27)</f>
        <v>126.27</v>
      </c>
      <c r="C210" s="2">
        <f>IFERROR(__xludf.DUMMYFUNCTION("""COMPUTED_VALUE"""),126.56)</f>
        <v>126.56</v>
      </c>
      <c r="D210" s="2">
        <f>IFERROR(__xludf.DUMMYFUNCTION("""COMPUTED_VALUE"""),123.93)</f>
        <v>123.93</v>
      </c>
      <c r="E210" s="2">
        <f>IFERROR(__xludf.DUMMYFUNCTION("""COMPUTED_VALUE"""),125.3)</f>
        <v>125.3</v>
      </c>
      <c r="F210" s="2">
        <f>IFERROR(__xludf.DUMMYFUNCTION("""COMPUTED_VALUE"""),2.1123418E7)</f>
        <v>21123418</v>
      </c>
    </row>
    <row r="211">
      <c r="A211" s="3">
        <f>IFERROR(__xludf.DUMMYFUNCTION("""COMPUTED_VALUE"""),45231.66666666667)</f>
        <v>45231.66667</v>
      </c>
      <c r="B211" s="2">
        <f>IFERROR(__xludf.DUMMYFUNCTION("""COMPUTED_VALUE"""),125.34)</f>
        <v>125.34</v>
      </c>
      <c r="C211" s="2">
        <f>IFERROR(__xludf.DUMMYFUNCTION("""COMPUTED_VALUE"""),127.74)</f>
        <v>127.74</v>
      </c>
      <c r="D211" s="2">
        <f>IFERROR(__xludf.DUMMYFUNCTION("""COMPUTED_VALUE"""),124.93)</f>
        <v>124.93</v>
      </c>
      <c r="E211" s="2">
        <f>IFERROR(__xludf.DUMMYFUNCTION("""COMPUTED_VALUE"""),127.57)</f>
        <v>127.57</v>
      </c>
      <c r="F211" s="2">
        <f>IFERROR(__xludf.DUMMYFUNCTION("""COMPUTED_VALUE"""),2.6536604E7)</f>
        <v>26536604</v>
      </c>
    </row>
    <row r="212">
      <c r="A212" s="3">
        <f>IFERROR(__xludf.DUMMYFUNCTION("""COMPUTED_VALUE"""),45232.66666666667)</f>
        <v>45232.66667</v>
      </c>
      <c r="B212" s="2">
        <f>IFERROR(__xludf.DUMMYFUNCTION("""COMPUTED_VALUE"""),129.56)</f>
        <v>129.56</v>
      </c>
      <c r="C212" s="2">
        <f>IFERROR(__xludf.DUMMYFUNCTION("""COMPUTED_VALUE"""),130.09)</f>
        <v>130.09</v>
      </c>
      <c r="D212" s="2">
        <f>IFERROR(__xludf.DUMMYFUNCTION("""COMPUTED_VALUE"""),128.11)</f>
        <v>128.11</v>
      </c>
      <c r="E212" s="2">
        <f>IFERROR(__xludf.DUMMYFUNCTION("""COMPUTED_VALUE"""),128.58)</f>
        <v>128.58</v>
      </c>
      <c r="F212" s="2">
        <f>IFERROR(__xludf.DUMMYFUNCTION("""COMPUTED_VALUE"""),2.4091672E7)</f>
        <v>24091672</v>
      </c>
    </row>
    <row r="213">
      <c r="A213" s="3">
        <f>IFERROR(__xludf.DUMMYFUNCTION("""COMPUTED_VALUE"""),45233.66666666667)</f>
        <v>45233.66667</v>
      </c>
      <c r="B213" s="2">
        <f>IFERROR(__xludf.DUMMYFUNCTION("""COMPUTED_VALUE"""),129.09)</f>
        <v>129.09</v>
      </c>
      <c r="C213" s="2">
        <f>IFERROR(__xludf.DUMMYFUNCTION("""COMPUTED_VALUE"""),130.73)</f>
        <v>130.73</v>
      </c>
      <c r="D213" s="2">
        <f>IFERROR(__xludf.DUMMYFUNCTION("""COMPUTED_VALUE"""),129.01)</f>
        <v>129.01</v>
      </c>
      <c r="E213" s="2">
        <f>IFERROR(__xludf.DUMMYFUNCTION("""COMPUTED_VALUE"""),130.37)</f>
        <v>130.37</v>
      </c>
      <c r="F213" s="2">
        <f>IFERROR(__xludf.DUMMYFUNCTION("""COMPUTED_VALUE"""),1.9529448E7)</f>
        <v>19529448</v>
      </c>
    </row>
    <row r="214">
      <c r="A214" s="3">
        <f>IFERROR(__xludf.DUMMYFUNCTION("""COMPUTED_VALUE"""),45236.66666666667)</f>
        <v>45236.66667</v>
      </c>
      <c r="B214" s="2">
        <f>IFERROR(__xludf.DUMMYFUNCTION("""COMPUTED_VALUE"""),130.22)</f>
        <v>130.22</v>
      </c>
      <c r="C214" s="2">
        <f>IFERROR(__xludf.DUMMYFUNCTION("""COMPUTED_VALUE"""),131.56)</f>
        <v>131.56</v>
      </c>
      <c r="D214" s="2">
        <f>IFERROR(__xludf.DUMMYFUNCTION("""COMPUTED_VALUE"""),129.93)</f>
        <v>129.93</v>
      </c>
      <c r="E214" s="2">
        <f>IFERROR(__xludf.DUMMYFUNCTION("""COMPUTED_VALUE"""),131.45)</f>
        <v>131.45</v>
      </c>
      <c r="F214" s="2">
        <f>IFERROR(__xludf.DUMMYFUNCTION("""COMPUTED_VALUE"""),1.5360362E7)</f>
        <v>15360362</v>
      </c>
    </row>
    <row r="215">
      <c r="A215" s="3">
        <f>IFERROR(__xludf.DUMMYFUNCTION("""COMPUTED_VALUE"""),45237.66666666667)</f>
        <v>45237.66667</v>
      </c>
      <c r="B215" s="2">
        <f>IFERROR(__xludf.DUMMYFUNCTION("""COMPUTED_VALUE"""),131.98)</f>
        <v>131.98</v>
      </c>
      <c r="C215" s="2">
        <f>IFERROR(__xludf.DUMMYFUNCTION("""COMPUTED_VALUE"""),133.28)</f>
        <v>133.28</v>
      </c>
      <c r="D215" s="2">
        <f>IFERROR(__xludf.DUMMYFUNCTION("""COMPUTED_VALUE"""),131.14)</f>
        <v>131.14</v>
      </c>
      <c r="E215" s="2">
        <f>IFERROR(__xludf.DUMMYFUNCTION("""COMPUTED_VALUE"""),132.4)</f>
        <v>132.4</v>
      </c>
      <c r="F215" s="2">
        <f>IFERROR(__xludf.DUMMYFUNCTION("""COMPUTED_VALUE"""),1.9223786E7)</f>
        <v>19223786</v>
      </c>
    </row>
    <row r="216">
      <c r="A216" s="3">
        <f>IFERROR(__xludf.DUMMYFUNCTION("""COMPUTED_VALUE"""),45238.66666666667)</f>
        <v>45238.66667</v>
      </c>
      <c r="B216" s="2">
        <f>IFERROR(__xludf.DUMMYFUNCTION("""COMPUTED_VALUE"""),132.36)</f>
        <v>132.36</v>
      </c>
      <c r="C216" s="2">
        <f>IFERROR(__xludf.DUMMYFUNCTION("""COMPUTED_VALUE"""),133.54)</f>
        <v>133.54</v>
      </c>
      <c r="D216" s="2">
        <f>IFERROR(__xludf.DUMMYFUNCTION("""COMPUTED_VALUE"""),132.16)</f>
        <v>132.16</v>
      </c>
      <c r="E216" s="2">
        <f>IFERROR(__xludf.DUMMYFUNCTION("""COMPUTED_VALUE"""),133.26)</f>
        <v>133.26</v>
      </c>
      <c r="F216" s="2">
        <f>IFERROR(__xludf.DUMMYFUNCTION("""COMPUTED_VALUE"""),1.5093598E7)</f>
        <v>15093598</v>
      </c>
    </row>
    <row r="217">
      <c r="A217" s="3">
        <f>IFERROR(__xludf.DUMMYFUNCTION("""COMPUTED_VALUE"""),45239.66666666667)</f>
        <v>45239.66667</v>
      </c>
      <c r="B217" s="2">
        <f>IFERROR(__xludf.DUMMYFUNCTION("""COMPUTED_VALUE"""),133.36)</f>
        <v>133.36</v>
      </c>
      <c r="C217" s="2">
        <f>IFERROR(__xludf.DUMMYFUNCTION("""COMPUTED_VALUE"""),133.96)</f>
        <v>133.96</v>
      </c>
      <c r="D217" s="2">
        <f>IFERROR(__xludf.DUMMYFUNCTION("""COMPUTED_VALUE"""),131.51)</f>
        <v>131.51</v>
      </c>
      <c r="E217" s="2">
        <f>IFERROR(__xludf.DUMMYFUNCTION("""COMPUTED_VALUE"""),131.69)</f>
        <v>131.69</v>
      </c>
      <c r="F217" s="2">
        <f>IFERROR(__xludf.DUMMYFUNCTION("""COMPUTED_VALUE"""),1.7976533E7)</f>
        <v>17976533</v>
      </c>
    </row>
    <row r="218">
      <c r="A218" s="3">
        <f>IFERROR(__xludf.DUMMYFUNCTION("""COMPUTED_VALUE"""),45240.66666666667)</f>
        <v>45240.66667</v>
      </c>
      <c r="B218" s="2">
        <f>IFERROR(__xludf.DUMMYFUNCTION("""COMPUTED_VALUE"""),131.53)</f>
        <v>131.53</v>
      </c>
      <c r="C218" s="2">
        <f>IFERROR(__xludf.DUMMYFUNCTION("""COMPUTED_VALUE"""),134.27)</f>
        <v>134.27</v>
      </c>
      <c r="D218" s="2">
        <f>IFERROR(__xludf.DUMMYFUNCTION("""COMPUTED_VALUE"""),130.87)</f>
        <v>130.87</v>
      </c>
      <c r="E218" s="2">
        <f>IFERROR(__xludf.DUMMYFUNCTION("""COMPUTED_VALUE"""),134.06)</f>
        <v>134.06</v>
      </c>
      <c r="F218" s="2">
        <f>IFERROR(__xludf.DUMMYFUNCTION("""COMPUTED_VALUE"""),2.0879838E7)</f>
        <v>20879838</v>
      </c>
    </row>
    <row r="219">
      <c r="A219" s="3">
        <f>IFERROR(__xludf.DUMMYFUNCTION("""COMPUTED_VALUE"""),45243.66666666667)</f>
        <v>45243.66667</v>
      </c>
      <c r="B219" s="2">
        <f>IFERROR(__xludf.DUMMYFUNCTION("""COMPUTED_VALUE"""),133.36)</f>
        <v>133.36</v>
      </c>
      <c r="C219" s="2">
        <f>IFERROR(__xludf.DUMMYFUNCTION("""COMPUTED_VALUE"""),134.11)</f>
        <v>134.11</v>
      </c>
      <c r="D219" s="2">
        <f>IFERROR(__xludf.DUMMYFUNCTION("""COMPUTED_VALUE"""),132.77)</f>
        <v>132.77</v>
      </c>
      <c r="E219" s="2">
        <f>IFERROR(__xludf.DUMMYFUNCTION("""COMPUTED_VALUE"""),133.64)</f>
        <v>133.64</v>
      </c>
      <c r="F219" s="2">
        <f>IFERROR(__xludf.DUMMYFUNCTION("""COMPUTED_VALUE"""),1.6409856E7)</f>
        <v>16409856</v>
      </c>
    </row>
    <row r="220">
      <c r="A220" s="3">
        <f>IFERROR(__xludf.DUMMYFUNCTION("""COMPUTED_VALUE"""),45244.66666666667)</f>
        <v>45244.66667</v>
      </c>
      <c r="B220" s="2">
        <f>IFERROR(__xludf.DUMMYFUNCTION("""COMPUTED_VALUE"""),135.65)</f>
        <v>135.65</v>
      </c>
      <c r="C220" s="2">
        <f>IFERROR(__xludf.DUMMYFUNCTION("""COMPUTED_VALUE"""),137.24)</f>
        <v>137.24</v>
      </c>
      <c r="D220" s="2">
        <f>IFERROR(__xludf.DUMMYFUNCTION("""COMPUTED_VALUE"""),135.1)</f>
        <v>135.1</v>
      </c>
      <c r="E220" s="2">
        <f>IFERROR(__xludf.DUMMYFUNCTION("""COMPUTED_VALUE"""),135.43)</f>
        <v>135.43</v>
      </c>
      <c r="F220" s="2">
        <f>IFERROR(__xludf.DUMMYFUNCTION("""COMPUTED_VALUE"""),2.2317345E7)</f>
        <v>22317345</v>
      </c>
    </row>
    <row r="221">
      <c r="A221" s="3">
        <f>IFERROR(__xludf.DUMMYFUNCTION("""COMPUTED_VALUE"""),45245.66666666667)</f>
        <v>45245.66667</v>
      </c>
      <c r="B221" s="2">
        <f>IFERROR(__xludf.DUMMYFUNCTION("""COMPUTED_VALUE"""),136.64)</f>
        <v>136.64</v>
      </c>
      <c r="C221" s="2">
        <f>IFERROR(__xludf.DUMMYFUNCTION("""COMPUTED_VALUE"""),136.84)</f>
        <v>136.84</v>
      </c>
      <c r="D221" s="2">
        <f>IFERROR(__xludf.DUMMYFUNCTION("""COMPUTED_VALUE"""),135.33)</f>
        <v>135.33</v>
      </c>
      <c r="E221" s="2">
        <f>IFERROR(__xludf.DUMMYFUNCTION("""COMPUTED_VALUE"""),136.38)</f>
        <v>136.38</v>
      </c>
      <c r="F221" s="2">
        <f>IFERROR(__xludf.DUMMYFUNCTION("""COMPUTED_VALUE"""),1.5840883E7)</f>
        <v>15840883</v>
      </c>
    </row>
    <row r="222">
      <c r="A222" s="3">
        <f>IFERROR(__xludf.DUMMYFUNCTION("""COMPUTED_VALUE"""),45246.66666666667)</f>
        <v>45246.66667</v>
      </c>
      <c r="B222" s="2">
        <f>IFERROR(__xludf.DUMMYFUNCTION("""COMPUTED_VALUE"""),136.96)</f>
        <v>136.96</v>
      </c>
      <c r="C222" s="2">
        <f>IFERROR(__xludf.DUMMYFUNCTION("""COMPUTED_VALUE"""),138.88)</f>
        <v>138.88</v>
      </c>
      <c r="D222" s="2">
        <f>IFERROR(__xludf.DUMMYFUNCTION("""COMPUTED_VALUE"""),136.08)</f>
        <v>136.08</v>
      </c>
      <c r="E222" s="2">
        <f>IFERROR(__xludf.DUMMYFUNCTION("""COMPUTED_VALUE"""),138.7)</f>
        <v>138.7</v>
      </c>
      <c r="F222" s="2">
        <f>IFERROR(__xludf.DUMMYFUNCTION("""COMPUTED_VALUE"""),1.7615068E7)</f>
        <v>17615068</v>
      </c>
    </row>
    <row r="223">
      <c r="A223" s="3">
        <f>IFERROR(__xludf.DUMMYFUNCTION("""COMPUTED_VALUE"""),45247.66666666667)</f>
        <v>45247.66667</v>
      </c>
      <c r="B223" s="2">
        <f>IFERROR(__xludf.DUMMYFUNCTION("""COMPUTED_VALUE"""),137.82)</f>
        <v>137.82</v>
      </c>
      <c r="C223" s="2">
        <f>IFERROR(__xludf.DUMMYFUNCTION("""COMPUTED_VALUE"""),138.0)</f>
        <v>138</v>
      </c>
      <c r="D223" s="2">
        <f>IFERROR(__xludf.DUMMYFUNCTION("""COMPUTED_VALUE"""),135.48)</f>
        <v>135.48</v>
      </c>
      <c r="E223" s="2">
        <f>IFERROR(__xludf.DUMMYFUNCTION("""COMPUTED_VALUE"""),136.94)</f>
        <v>136.94</v>
      </c>
      <c r="F223" s="2">
        <f>IFERROR(__xludf.DUMMYFUNCTION("""COMPUTED_VALUE"""),2.5590191E7)</f>
        <v>25590191</v>
      </c>
    </row>
    <row r="224">
      <c r="A224" s="3">
        <f>IFERROR(__xludf.DUMMYFUNCTION("""COMPUTED_VALUE"""),45250.66666666667)</f>
        <v>45250.66667</v>
      </c>
      <c r="B224" s="2">
        <f>IFERROR(__xludf.DUMMYFUNCTION("""COMPUTED_VALUE"""),135.5)</f>
        <v>135.5</v>
      </c>
      <c r="C224" s="2">
        <f>IFERROR(__xludf.DUMMYFUNCTION("""COMPUTED_VALUE"""),138.43)</f>
        <v>138.43</v>
      </c>
      <c r="D224" s="2">
        <f>IFERROR(__xludf.DUMMYFUNCTION("""COMPUTED_VALUE"""),135.49)</f>
        <v>135.49</v>
      </c>
      <c r="E224" s="2">
        <f>IFERROR(__xludf.DUMMYFUNCTION("""COMPUTED_VALUE"""),137.92)</f>
        <v>137.92</v>
      </c>
      <c r="F224" s="2">
        <f>IFERROR(__xludf.DUMMYFUNCTION("""COMPUTED_VALUE"""),1.9589006E7)</f>
        <v>19589006</v>
      </c>
    </row>
    <row r="225">
      <c r="A225" s="3">
        <f>IFERROR(__xludf.DUMMYFUNCTION("""COMPUTED_VALUE"""),45251.66666666667)</f>
        <v>45251.66667</v>
      </c>
      <c r="B225" s="2">
        <f>IFERROR(__xludf.DUMMYFUNCTION("""COMPUTED_VALUE"""),137.94)</f>
        <v>137.94</v>
      </c>
      <c r="C225" s="2">
        <f>IFERROR(__xludf.DUMMYFUNCTION("""COMPUTED_VALUE"""),138.97)</f>
        <v>138.97</v>
      </c>
      <c r="D225" s="2">
        <f>IFERROR(__xludf.DUMMYFUNCTION("""COMPUTED_VALUE"""),137.71)</f>
        <v>137.71</v>
      </c>
      <c r="E225" s="2">
        <f>IFERROR(__xludf.DUMMYFUNCTION("""COMPUTED_VALUE"""),138.62)</f>
        <v>138.62</v>
      </c>
      <c r="F225" s="2">
        <f>IFERROR(__xludf.DUMMYFUNCTION("""COMPUTED_VALUE"""),1.7648067E7)</f>
        <v>17648067</v>
      </c>
    </row>
    <row r="226">
      <c r="A226" s="3">
        <f>IFERROR(__xludf.DUMMYFUNCTION("""COMPUTED_VALUE"""),45252.66666666667)</f>
        <v>45252.66667</v>
      </c>
      <c r="B226" s="2">
        <f>IFERROR(__xludf.DUMMYFUNCTION("""COMPUTED_VALUE"""),139.1)</f>
        <v>139.1</v>
      </c>
      <c r="C226" s="2">
        <f>IFERROR(__xludf.DUMMYFUNCTION("""COMPUTED_VALUE"""),141.1)</f>
        <v>141.1</v>
      </c>
      <c r="D226" s="2">
        <f>IFERROR(__xludf.DUMMYFUNCTION("""COMPUTED_VALUE"""),139.0)</f>
        <v>139</v>
      </c>
      <c r="E226" s="2">
        <f>IFERROR(__xludf.DUMMYFUNCTION("""COMPUTED_VALUE"""),140.02)</f>
        <v>140.02</v>
      </c>
      <c r="F226" s="2">
        <f>IFERROR(__xludf.DUMMYFUNCTION("""COMPUTED_VALUE"""),1.7310209E7)</f>
        <v>17310209</v>
      </c>
    </row>
    <row r="227">
      <c r="A227" s="3">
        <f>IFERROR(__xludf.DUMMYFUNCTION("""COMPUTED_VALUE"""),45254.54513888889)</f>
        <v>45254.54514</v>
      </c>
      <c r="B227" s="2">
        <f>IFERROR(__xludf.DUMMYFUNCTION("""COMPUTED_VALUE"""),139.54)</f>
        <v>139.54</v>
      </c>
      <c r="C227" s="2">
        <f>IFERROR(__xludf.DUMMYFUNCTION("""COMPUTED_VALUE"""),139.68)</f>
        <v>139.68</v>
      </c>
      <c r="D227" s="2">
        <f>IFERROR(__xludf.DUMMYFUNCTION("""COMPUTED_VALUE"""),137.47)</f>
        <v>137.47</v>
      </c>
      <c r="E227" s="2">
        <f>IFERROR(__xludf.DUMMYFUNCTION("""COMPUTED_VALUE"""),138.22)</f>
        <v>138.22</v>
      </c>
      <c r="F227" s="2">
        <f>IFERROR(__xludf.DUMMYFUNCTION("""COMPUTED_VALUE"""),8828640.0)</f>
        <v>8828640</v>
      </c>
    </row>
    <row r="228">
      <c r="A228" s="3">
        <f>IFERROR(__xludf.DUMMYFUNCTION("""COMPUTED_VALUE"""),45257.66666666667)</f>
        <v>45257.66667</v>
      </c>
      <c r="B228" s="2">
        <f>IFERROR(__xludf.DUMMYFUNCTION("""COMPUTED_VALUE"""),137.57)</f>
        <v>137.57</v>
      </c>
      <c r="C228" s="2">
        <f>IFERROR(__xludf.DUMMYFUNCTION("""COMPUTED_VALUE"""),139.63)</f>
        <v>139.63</v>
      </c>
      <c r="D228" s="2">
        <f>IFERROR(__xludf.DUMMYFUNCTION("""COMPUTED_VALUE"""),137.54)</f>
        <v>137.54</v>
      </c>
      <c r="E228" s="2">
        <f>IFERROR(__xludf.DUMMYFUNCTION("""COMPUTED_VALUE"""),138.05)</f>
        <v>138.05</v>
      </c>
      <c r="F228" s="2">
        <f>IFERROR(__xludf.DUMMYFUNCTION("""COMPUTED_VALUE"""),1.7886389E7)</f>
        <v>17886389</v>
      </c>
    </row>
    <row r="229">
      <c r="A229" s="3">
        <f>IFERROR(__xludf.DUMMYFUNCTION("""COMPUTED_VALUE"""),45258.66666666667)</f>
        <v>45258.66667</v>
      </c>
      <c r="B229" s="2">
        <f>IFERROR(__xludf.DUMMYFUNCTION("""COMPUTED_VALUE"""),137.63)</f>
        <v>137.63</v>
      </c>
      <c r="C229" s="2">
        <f>IFERROR(__xludf.DUMMYFUNCTION("""COMPUTED_VALUE"""),138.66)</f>
        <v>138.66</v>
      </c>
      <c r="D229" s="2">
        <f>IFERROR(__xludf.DUMMYFUNCTION("""COMPUTED_VALUE"""),137.04)</f>
        <v>137.04</v>
      </c>
      <c r="E229" s="2">
        <f>IFERROR(__xludf.DUMMYFUNCTION("""COMPUTED_VALUE"""),138.62)</f>
        <v>138.62</v>
      </c>
      <c r="F229" s="2">
        <f>IFERROR(__xludf.DUMMYFUNCTION("""COMPUTED_VALUE"""),1.7046868E7)</f>
        <v>17046868</v>
      </c>
    </row>
    <row r="230">
      <c r="A230" s="3">
        <f>IFERROR(__xludf.DUMMYFUNCTION("""COMPUTED_VALUE"""),45259.66666666667)</f>
        <v>45259.66667</v>
      </c>
      <c r="B230" s="2">
        <f>IFERROR(__xludf.DUMMYFUNCTION("""COMPUTED_VALUE"""),138.99)</f>
        <v>138.99</v>
      </c>
      <c r="C230" s="2">
        <f>IFERROR(__xludf.DUMMYFUNCTION("""COMPUTED_VALUE"""),139.67)</f>
        <v>139.67</v>
      </c>
      <c r="D230" s="2">
        <f>IFERROR(__xludf.DUMMYFUNCTION("""COMPUTED_VALUE"""),136.29)</f>
        <v>136.29</v>
      </c>
      <c r="E230" s="2">
        <f>IFERROR(__xludf.DUMMYFUNCTION("""COMPUTED_VALUE"""),136.4)</f>
        <v>136.4</v>
      </c>
      <c r="F230" s="2">
        <f>IFERROR(__xludf.DUMMYFUNCTION("""COMPUTED_VALUE"""),2.1014715E7)</f>
        <v>21014715</v>
      </c>
    </row>
    <row r="231">
      <c r="A231" s="3">
        <f>IFERROR(__xludf.DUMMYFUNCTION("""COMPUTED_VALUE"""),45260.66666666667)</f>
        <v>45260.66667</v>
      </c>
      <c r="B231" s="2">
        <f>IFERROR(__xludf.DUMMYFUNCTION("""COMPUTED_VALUE"""),136.4)</f>
        <v>136.4</v>
      </c>
      <c r="C231" s="2">
        <f>IFERROR(__xludf.DUMMYFUNCTION("""COMPUTED_VALUE"""),136.96)</f>
        <v>136.96</v>
      </c>
      <c r="D231" s="2">
        <f>IFERROR(__xludf.DUMMYFUNCTION("""COMPUTED_VALUE"""),132.79)</f>
        <v>132.79</v>
      </c>
      <c r="E231" s="2">
        <f>IFERROR(__xludf.DUMMYFUNCTION("""COMPUTED_VALUE"""),133.92)</f>
        <v>133.92</v>
      </c>
      <c r="F231" s="2">
        <f>IFERROR(__xludf.DUMMYFUNCTION("""COMPUTED_VALUE"""),2.9913531E7)</f>
        <v>29913531</v>
      </c>
    </row>
    <row r="232">
      <c r="A232" s="3">
        <f>IFERROR(__xludf.DUMMYFUNCTION("""COMPUTED_VALUE"""),45261.66666666667)</f>
        <v>45261.66667</v>
      </c>
      <c r="B232" s="2">
        <f>IFERROR(__xludf.DUMMYFUNCTION("""COMPUTED_VALUE"""),133.32)</f>
        <v>133.32</v>
      </c>
      <c r="C232" s="2">
        <f>IFERROR(__xludf.DUMMYFUNCTION("""COMPUTED_VALUE"""),133.5)</f>
        <v>133.5</v>
      </c>
      <c r="D232" s="2">
        <f>IFERROR(__xludf.DUMMYFUNCTION("""COMPUTED_VALUE"""),132.15)</f>
        <v>132.15</v>
      </c>
      <c r="E232" s="2">
        <f>IFERROR(__xludf.DUMMYFUNCTION("""COMPUTED_VALUE"""),133.32)</f>
        <v>133.32</v>
      </c>
      <c r="F232" s="2">
        <f>IFERROR(__xludf.DUMMYFUNCTION("""COMPUTED_VALUE"""),2.4267987E7)</f>
        <v>24267987</v>
      </c>
    </row>
    <row r="233">
      <c r="A233" s="3">
        <f>IFERROR(__xludf.DUMMYFUNCTION("""COMPUTED_VALUE"""),45264.66666666667)</f>
        <v>45264.66667</v>
      </c>
      <c r="B233" s="2">
        <f>IFERROR(__xludf.DUMMYFUNCTION("""COMPUTED_VALUE"""),131.29)</f>
        <v>131.29</v>
      </c>
      <c r="C233" s="2">
        <f>IFERROR(__xludf.DUMMYFUNCTION("""COMPUTED_VALUE"""),131.45)</f>
        <v>131.45</v>
      </c>
      <c r="D233" s="2">
        <f>IFERROR(__xludf.DUMMYFUNCTION("""COMPUTED_VALUE"""),129.4)</f>
        <v>129.4</v>
      </c>
      <c r="E233" s="2">
        <f>IFERROR(__xludf.DUMMYFUNCTION("""COMPUTED_VALUE"""),130.63)</f>
        <v>130.63</v>
      </c>
      <c r="F233" s="2">
        <f>IFERROR(__xludf.DUMMYFUNCTION("""COMPUTED_VALUE"""),2.4117083E7)</f>
        <v>24117083</v>
      </c>
    </row>
    <row r="234">
      <c r="A234" s="3">
        <f>IFERROR(__xludf.DUMMYFUNCTION("""COMPUTED_VALUE"""),45265.66666666667)</f>
        <v>45265.66667</v>
      </c>
      <c r="B234" s="2">
        <f>IFERROR(__xludf.DUMMYFUNCTION("""COMPUTED_VALUE"""),130.37)</f>
        <v>130.37</v>
      </c>
      <c r="C234" s="2">
        <f>IFERROR(__xludf.DUMMYFUNCTION("""COMPUTED_VALUE"""),133.54)</f>
        <v>133.54</v>
      </c>
      <c r="D234" s="2">
        <f>IFERROR(__xludf.DUMMYFUNCTION("""COMPUTED_VALUE"""),129.73)</f>
        <v>129.73</v>
      </c>
      <c r="E234" s="2">
        <f>IFERROR(__xludf.DUMMYFUNCTION("""COMPUTED_VALUE"""),132.39)</f>
        <v>132.39</v>
      </c>
      <c r="F234" s="2">
        <f>IFERROR(__xludf.DUMMYFUNCTION("""COMPUTED_VALUE"""),1.9235145E7)</f>
        <v>19235145</v>
      </c>
    </row>
    <row r="235">
      <c r="A235" s="3">
        <f>IFERROR(__xludf.DUMMYFUNCTION("""COMPUTED_VALUE"""),45266.66666666667)</f>
        <v>45266.66667</v>
      </c>
      <c r="B235" s="2">
        <f>IFERROR(__xludf.DUMMYFUNCTION("""COMPUTED_VALUE"""),132.9)</f>
        <v>132.9</v>
      </c>
      <c r="C235" s="2">
        <f>IFERROR(__xludf.DUMMYFUNCTION("""COMPUTED_VALUE"""),133.31)</f>
        <v>133.31</v>
      </c>
      <c r="D235" s="2">
        <f>IFERROR(__xludf.DUMMYFUNCTION("""COMPUTED_VALUE"""),131.31)</f>
        <v>131.31</v>
      </c>
      <c r="E235" s="2">
        <f>IFERROR(__xludf.DUMMYFUNCTION("""COMPUTED_VALUE"""),131.43)</f>
        <v>131.43</v>
      </c>
      <c r="F235" s="2">
        <f>IFERROR(__xludf.DUMMYFUNCTION("""COMPUTED_VALUE"""),1.6360648E7)</f>
        <v>16360648</v>
      </c>
    </row>
    <row r="236">
      <c r="A236" s="3">
        <f>IFERROR(__xludf.DUMMYFUNCTION("""COMPUTED_VALUE"""),45267.66666666667)</f>
        <v>45267.66667</v>
      </c>
      <c r="B236" s="2">
        <f>IFERROR(__xludf.DUMMYFUNCTION("""COMPUTED_VALUE"""),136.6)</f>
        <v>136.6</v>
      </c>
      <c r="C236" s="2">
        <f>IFERROR(__xludf.DUMMYFUNCTION("""COMPUTED_VALUE"""),140.0)</f>
        <v>140</v>
      </c>
      <c r="D236" s="2">
        <f>IFERROR(__xludf.DUMMYFUNCTION("""COMPUTED_VALUE"""),136.23)</f>
        <v>136.23</v>
      </c>
      <c r="E236" s="2">
        <f>IFERROR(__xludf.DUMMYFUNCTION("""COMPUTED_VALUE"""),138.45)</f>
        <v>138.45</v>
      </c>
      <c r="F236" s="2">
        <f>IFERROR(__xludf.DUMMYFUNCTION("""COMPUTED_VALUE"""),3.8419426E7)</f>
        <v>38419426</v>
      </c>
    </row>
    <row r="237">
      <c r="A237" s="3">
        <f>IFERROR(__xludf.DUMMYFUNCTION("""COMPUTED_VALUE"""),45268.66666666667)</f>
        <v>45268.66667</v>
      </c>
      <c r="B237" s="2">
        <f>IFERROR(__xludf.DUMMYFUNCTION("""COMPUTED_VALUE"""),135.66)</f>
        <v>135.66</v>
      </c>
      <c r="C237" s="2">
        <f>IFERROR(__xludf.DUMMYFUNCTION("""COMPUTED_VALUE"""),137.99)</f>
        <v>137.99</v>
      </c>
      <c r="D237" s="2">
        <f>IFERROR(__xludf.DUMMYFUNCTION("""COMPUTED_VALUE"""),135.57)</f>
        <v>135.57</v>
      </c>
      <c r="E237" s="2">
        <f>IFERROR(__xludf.DUMMYFUNCTION("""COMPUTED_VALUE"""),136.64)</f>
        <v>136.64</v>
      </c>
      <c r="F237" s="2">
        <f>IFERROR(__xludf.DUMMYFUNCTION("""COMPUTED_VALUE"""),2.3016139E7)</f>
        <v>23016139</v>
      </c>
    </row>
    <row r="238">
      <c r="A238" s="3">
        <f>IFERROR(__xludf.DUMMYFUNCTION("""COMPUTED_VALUE"""),45271.66666666667)</f>
        <v>45271.66667</v>
      </c>
      <c r="B238" s="2">
        <f>IFERROR(__xludf.DUMMYFUNCTION("""COMPUTED_VALUE"""),133.82)</f>
        <v>133.82</v>
      </c>
      <c r="C238" s="2">
        <f>IFERROR(__xludf.DUMMYFUNCTION("""COMPUTED_VALUE"""),134.79)</f>
        <v>134.79</v>
      </c>
      <c r="D238" s="2">
        <f>IFERROR(__xludf.DUMMYFUNCTION("""COMPUTED_VALUE"""),132.89)</f>
        <v>132.89</v>
      </c>
      <c r="E238" s="2">
        <f>IFERROR(__xludf.DUMMYFUNCTION("""COMPUTED_VALUE"""),134.7)</f>
        <v>134.7</v>
      </c>
      <c r="F238" s="2">
        <f>IFERROR(__xludf.DUMMYFUNCTION("""COMPUTED_VALUE"""),2.450286E7)</f>
        <v>24502860</v>
      </c>
    </row>
    <row r="239">
      <c r="A239" s="3">
        <f>IFERROR(__xludf.DUMMYFUNCTION("""COMPUTED_VALUE"""),45272.66666666667)</f>
        <v>45272.66667</v>
      </c>
      <c r="B239" s="2">
        <f>IFERROR(__xludf.DUMMYFUNCTION("""COMPUTED_VALUE"""),133.27)</f>
        <v>133.27</v>
      </c>
      <c r="C239" s="2">
        <f>IFERROR(__xludf.DUMMYFUNCTION("""COMPUTED_VALUE"""),134.54)</f>
        <v>134.54</v>
      </c>
      <c r="D239" s="2">
        <f>IFERROR(__xludf.DUMMYFUNCTION("""COMPUTED_VALUE"""),132.83)</f>
        <v>132.83</v>
      </c>
      <c r="E239" s="2">
        <f>IFERROR(__xludf.DUMMYFUNCTION("""COMPUTED_VALUE"""),133.64)</f>
        <v>133.64</v>
      </c>
      <c r="F239" s="2">
        <f>IFERROR(__xludf.DUMMYFUNCTION("""COMPUTED_VALUE"""),2.6583981E7)</f>
        <v>26583981</v>
      </c>
    </row>
    <row r="240">
      <c r="A240" s="3">
        <f>IFERROR(__xludf.DUMMYFUNCTION("""COMPUTED_VALUE"""),45273.66666666667)</f>
        <v>45273.66667</v>
      </c>
      <c r="B240" s="2">
        <f>IFERROR(__xludf.DUMMYFUNCTION("""COMPUTED_VALUE"""),134.54)</f>
        <v>134.54</v>
      </c>
      <c r="C240" s="2">
        <f>IFERROR(__xludf.DUMMYFUNCTION("""COMPUTED_VALUE"""),134.78)</f>
        <v>134.78</v>
      </c>
      <c r="D240" s="2">
        <f>IFERROR(__xludf.DUMMYFUNCTION("""COMPUTED_VALUE"""),132.95)</f>
        <v>132.95</v>
      </c>
      <c r="E240" s="2">
        <f>IFERROR(__xludf.DUMMYFUNCTION("""COMPUTED_VALUE"""),133.97)</f>
        <v>133.97</v>
      </c>
      <c r="F240" s="2">
        <f>IFERROR(__xludf.DUMMYFUNCTION("""COMPUTED_VALUE"""),2.5414461E7)</f>
        <v>25414461</v>
      </c>
    </row>
    <row r="241">
      <c r="A241" s="3">
        <f>IFERROR(__xludf.DUMMYFUNCTION("""COMPUTED_VALUE"""),45274.66666666667)</f>
        <v>45274.66667</v>
      </c>
      <c r="B241" s="2">
        <f>IFERROR(__xludf.DUMMYFUNCTION("""COMPUTED_VALUE"""),134.77)</f>
        <v>134.77</v>
      </c>
      <c r="C241" s="2">
        <f>IFERROR(__xludf.DUMMYFUNCTION("""COMPUTED_VALUE"""),135.04)</f>
        <v>135.04</v>
      </c>
      <c r="D241" s="2">
        <f>IFERROR(__xludf.DUMMYFUNCTION("""COMPUTED_VALUE"""),131.06)</f>
        <v>131.06</v>
      </c>
      <c r="E241" s="2">
        <f>IFERROR(__xludf.DUMMYFUNCTION("""COMPUTED_VALUE"""),133.2)</f>
        <v>133.2</v>
      </c>
      <c r="F241" s="2">
        <f>IFERROR(__xludf.DUMMYFUNCTION("""COMPUTED_VALUE"""),2.9619098E7)</f>
        <v>29619098</v>
      </c>
    </row>
    <row r="242">
      <c r="A242" s="3">
        <f>IFERROR(__xludf.DUMMYFUNCTION("""COMPUTED_VALUE"""),45275.66666666667)</f>
        <v>45275.66667</v>
      </c>
      <c r="B242" s="2">
        <f>IFERROR(__xludf.DUMMYFUNCTION("""COMPUTED_VALUE"""),132.92)</f>
        <v>132.92</v>
      </c>
      <c r="C242" s="2">
        <f>IFERROR(__xludf.DUMMYFUNCTION("""COMPUTED_VALUE"""),134.83)</f>
        <v>134.83</v>
      </c>
      <c r="D242" s="2">
        <f>IFERROR(__xludf.DUMMYFUNCTION("""COMPUTED_VALUE"""),132.63)</f>
        <v>132.63</v>
      </c>
      <c r="E242" s="2">
        <f>IFERROR(__xludf.DUMMYFUNCTION("""COMPUTED_VALUE"""),133.84)</f>
        <v>133.84</v>
      </c>
      <c r="F242" s="2">
        <f>IFERROR(__xludf.DUMMYFUNCTION("""COMPUTED_VALUE"""),5.8594004E7)</f>
        <v>58594004</v>
      </c>
    </row>
    <row r="243">
      <c r="A243" s="3">
        <f>IFERROR(__xludf.DUMMYFUNCTION("""COMPUTED_VALUE"""),45278.66666666667)</f>
        <v>45278.66667</v>
      </c>
      <c r="B243" s="2">
        <f>IFERROR(__xludf.DUMMYFUNCTION("""COMPUTED_VALUE"""),133.86)</f>
        <v>133.86</v>
      </c>
      <c r="C243" s="2">
        <f>IFERROR(__xludf.DUMMYFUNCTION("""COMPUTED_VALUE"""),138.38)</f>
        <v>138.38</v>
      </c>
      <c r="D243" s="2">
        <f>IFERROR(__xludf.DUMMYFUNCTION("""COMPUTED_VALUE"""),133.77)</f>
        <v>133.77</v>
      </c>
      <c r="E243" s="2">
        <f>IFERROR(__xludf.DUMMYFUNCTION("""COMPUTED_VALUE"""),137.19)</f>
        <v>137.19</v>
      </c>
      <c r="F243" s="2">
        <f>IFERROR(__xludf.DUMMYFUNCTION("""COMPUTED_VALUE"""),2.5699767E7)</f>
        <v>25699767</v>
      </c>
    </row>
    <row r="244">
      <c r="A244" s="3">
        <f>IFERROR(__xludf.DUMMYFUNCTION("""COMPUTED_VALUE"""),45279.66666666667)</f>
        <v>45279.66667</v>
      </c>
      <c r="B244" s="2">
        <f>IFERROR(__xludf.DUMMYFUNCTION("""COMPUTED_VALUE"""),138.0)</f>
        <v>138</v>
      </c>
      <c r="C244" s="2">
        <f>IFERROR(__xludf.DUMMYFUNCTION("""COMPUTED_VALUE"""),138.77)</f>
        <v>138.77</v>
      </c>
      <c r="D244" s="2">
        <f>IFERROR(__xludf.DUMMYFUNCTION("""COMPUTED_VALUE"""),137.45)</f>
        <v>137.45</v>
      </c>
      <c r="E244" s="2">
        <f>IFERROR(__xludf.DUMMYFUNCTION("""COMPUTED_VALUE"""),138.1)</f>
        <v>138.1</v>
      </c>
      <c r="F244" s="2">
        <f>IFERROR(__xludf.DUMMYFUNCTION("""COMPUTED_VALUE"""),2.0661E7)</f>
        <v>20661000</v>
      </c>
    </row>
    <row r="245">
      <c r="A245" s="3">
        <f>IFERROR(__xludf.DUMMYFUNCTION("""COMPUTED_VALUE"""),45280.66666666667)</f>
        <v>45280.66667</v>
      </c>
      <c r="B245" s="2">
        <f>IFERROR(__xludf.DUMMYFUNCTION("""COMPUTED_VALUE"""),140.33)</f>
        <v>140.33</v>
      </c>
      <c r="C245" s="2">
        <f>IFERROR(__xludf.DUMMYFUNCTION("""COMPUTED_VALUE"""),143.08)</f>
        <v>143.08</v>
      </c>
      <c r="D245" s="2">
        <f>IFERROR(__xludf.DUMMYFUNCTION("""COMPUTED_VALUE"""),139.41)</f>
        <v>139.41</v>
      </c>
      <c r="E245" s="2">
        <f>IFERROR(__xludf.DUMMYFUNCTION("""COMPUTED_VALUE"""),139.66)</f>
        <v>139.66</v>
      </c>
      <c r="F245" s="2">
        <f>IFERROR(__xludf.DUMMYFUNCTION("""COMPUTED_VALUE"""),3.3507342E7)</f>
        <v>33507342</v>
      </c>
    </row>
    <row r="246">
      <c r="A246" s="3">
        <f>IFERROR(__xludf.DUMMYFUNCTION("""COMPUTED_VALUE"""),45281.66666666667)</f>
        <v>45281.66667</v>
      </c>
      <c r="B246" s="2">
        <f>IFERROR(__xludf.DUMMYFUNCTION("""COMPUTED_VALUE"""),140.77)</f>
        <v>140.77</v>
      </c>
      <c r="C246" s="2">
        <f>IFERROR(__xludf.DUMMYFUNCTION("""COMPUTED_VALUE"""),142.03)</f>
        <v>142.03</v>
      </c>
      <c r="D246" s="2">
        <f>IFERROR(__xludf.DUMMYFUNCTION("""COMPUTED_VALUE"""),140.47)</f>
        <v>140.47</v>
      </c>
      <c r="E246" s="2">
        <f>IFERROR(__xludf.DUMMYFUNCTION("""COMPUTED_VALUE"""),141.8)</f>
        <v>141.8</v>
      </c>
      <c r="F246" s="2">
        <f>IFERROR(__xludf.DUMMYFUNCTION("""COMPUTED_VALUE"""),1.8101476E7)</f>
        <v>18101476</v>
      </c>
    </row>
    <row r="247">
      <c r="A247" s="3">
        <f>IFERROR(__xludf.DUMMYFUNCTION("""COMPUTED_VALUE"""),45282.66666666667)</f>
        <v>45282.66667</v>
      </c>
      <c r="B247" s="2">
        <f>IFERROR(__xludf.DUMMYFUNCTION("""COMPUTED_VALUE"""),142.13)</f>
        <v>142.13</v>
      </c>
      <c r="C247" s="2">
        <f>IFERROR(__xludf.DUMMYFUNCTION("""COMPUTED_VALUE"""),143.25)</f>
        <v>143.25</v>
      </c>
      <c r="D247" s="2">
        <f>IFERROR(__xludf.DUMMYFUNCTION("""COMPUTED_VALUE"""),142.06)</f>
        <v>142.06</v>
      </c>
      <c r="E247" s="2">
        <f>IFERROR(__xludf.DUMMYFUNCTION("""COMPUTED_VALUE"""),142.72)</f>
        <v>142.72</v>
      </c>
      <c r="F247" s="2">
        <f>IFERROR(__xludf.DUMMYFUNCTION("""COMPUTED_VALUE"""),1.8513524E7)</f>
        <v>18513524</v>
      </c>
    </row>
    <row r="248">
      <c r="A248" s="3">
        <f>IFERROR(__xludf.DUMMYFUNCTION("""COMPUTED_VALUE"""),45286.66666666667)</f>
        <v>45286.66667</v>
      </c>
      <c r="B248" s="2">
        <f>IFERROR(__xludf.DUMMYFUNCTION("""COMPUTED_VALUE"""),142.98)</f>
        <v>142.98</v>
      </c>
      <c r="C248" s="2">
        <f>IFERROR(__xludf.DUMMYFUNCTION("""COMPUTED_VALUE"""),143.95)</f>
        <v>143.95</v>
      </c>
      <c r="D248" s="2">
        <f>IFERROR(__xludf.DUMMYFUNCTION("""COMPUTED_VALUE"""),142.5)</f>
        <v>142.5</v>
      </c>
      <c r="E248" s="2">
        <f>IFERROR(__xludf.DUMMYFUNCTION("""COMPUTED_VALUE"""),142.82)</f>
        <v>142.82</v>
      </c>
      <c r="F248" s="2">
        <f>IFERROR(__xludf.DUMMYFUNCTION("""COMPUTED_VALUE"""),1.1170066E7)</f>
        <v>11170066</v>
      </c>
    </row>
    <row r="249">
      <c r="A249" s="3">
        <f>IFERROR(__xludf.DUMMYFUNCTION("""COMPUTED_VALUE"""),45287.66666666667)</f>
        <v>45287.66667</v>
      </c>
      <c r="B249" s="2">
        <f>IFERROR(__xludf.DUMMYFUNCTION("""COMPUTED_VALUE"""),142.83)</f>
        <v>142.83</v>
      </c>
      <c r="C249" s="2">
        <f>IFERROR(__xludf.DUMMYFUNCTION("""COMPUTED_VALUE"""),143.32)</f>
        <v>143.32</v>
      </c>
      <c r="D249" s="2">
        <f>IFERROR(__xludf.DUMMYFUNCTION("""COMPUTED_VALUE"""),141.05)</f>
        <v>141.05</v>
      </c>
      <c r="E249" s="2">
        <f>IFERROR(__xludf.DUMMYFUNCTION("""COMPUTED_VALUE"""),141.44)</f>
        <v>141.44</v>
      </c>
      <c r="F249" s="2">
        <f>IFERROR(__xludf.DUMMYFUNCTION("""COMPUTED_VALUE"""),1.7288358E7)</f>
        <v>17288358</v>
      </c>
    </row>
    <row r="250">
      <c r="A250" s="3">
        <f>IFERROR(__xludf.DUMMYFUNCTION("""COMPUTED_VALUE"""),45288.66666666667)</f>
        <v>45288.66667</v>
      </c>
      <c r="B250" s="2">
        <f>IFERROR(__xludf.DUMMYFUNCTION("""COMPUTED_VALUE"""),141.85)</f>
        <v>141.85</v>
      </c>
      <c r="C250" s="2">
        <f>IFERROR(__xludf.DUMMYFUNCTION("""COMPUTED_VALUE"""),142.27)</f>
        <v>142.27</v>
      </c>
      <c r="D250" s="2">
        <f>IFERROR(__xludf.DUMMYFUNCTION("""COMPUTED_VALUE"""),140.83)</f>
        <v>140.83</v>
      </c>
      <c r="E250" s="2">
        <f>IFERROR(__xludf.DUMMYFUNCTION("""COMPUTED_VALUE"""),141.28)</f>
        <v>141.28</v>
      </c>
      <c r="F250" s="2">
        <f>IFERROR(__xludf.DUMMYFUNCTION("""COMPUTED_VALUE"""),1.2192549E7)</f>
        <v>12192549</v>
      </c>
    </row>
    <row r="251">
      <c r="A251" s="3">
        <f>IFERROR(__xludf.DUMMYFUNCTION("""COMPUTED_VALUE"""),45289.66666666667)</f>
        <v>45289.66667</v>
      </c>
      <c r="B251" s="2">
        <f>IFERROR(__xludf.DUMMYFUNCTION("""COMPUTED_VALUE"""),140.68)</f>
        <v>140.68</v>
      </c>
      <c r="C251" s="2">
        <f>IFERROR(__xludf.DUMMYFUNCTION("""COMPUTED_VALUE"""),141.44)</f>
        <v>141.44</v>
      </c>
      <c r="D251" s="2">
        <f>IFERROR(__xludf.DUMMYFUNCTION("""COMPUTED_VALUE"""),139.9)</f>
        <v>139.9</v>
      </c>
      <c r="E251" s="2">
        <f>IFERROR(__xludf.DUMMYFUNCTION("""COMPUTED_VALUE"""),140.93)</f>
        <v>140.93</v>
      </c>
      <c r="F251" s="2">
        <f>IFERROR(__xludf.DUMMYFUNCTION("""COMPUTED_VALUE"""),1.4880961E7)</f>
        <v>14880961</v>
      </c>
    </row>
    <row r="252">
      <c r="A252" s="3">
        <f>IFERROR(__xludf.DUMMYFUNCTION("""COMPUTED_VALUE"""),45293.66666666667)</f>
        <v>45293.66667</v>
      </c>
      <c r="B252" s="2">
        <f>IFERROR(__xludf.DUMMYFUNCTION("""COMPUTED_VALUE"""),139.6)</f>
        <v>139.6</v>
      </c>
      <c r="C252" s="2">
        <f>IFERROR(__xludf.DUMMYFUNCTION("""COMPUTED_VALUE"""),140.61)</f>
        <v>140.61</v>
      </c>
      <c r="D252" s="2">
        <f>IFERROR(__xludf.DUMMYFUNCTION("""COMPUTED_VALUE"""),137.74)</f>
        <v>137.74</v>
      </c>
      <c r="E252" s="2">
        <f>IFERROR(__xludf.DUMMYFUNCTION("""COMPUTED_VALUE"""),139.56)</f>
        <v>139.56</v>
      </c>
      <c r="F252" s="2">
        <f>IFERROR(__xludf.DUMMYFUNCTION("""COMPUTED_VALUE"""),2.0071885E7)</f>
        <v>20071885</v>
      </c>
    </row>
    <row r="253">
      <c r="A253" s="3">
        <f>IFERROR(__xludf.DUMMYFUNCTION("""COMPUTED_VALUE"""),45294.66666666667)</f>
        <v>45294.66667</v>
      </c>
      <c r="B253" s="2">
        <f>IFERROR(__xludf.DUMMYFUNCTION("""COMPUTED_VALUE"""),138.6)</f>
        <v>138.6</v>
      </c>
      <c r="C253" s="2">
        <f>IFERROR(__xludf.DUMMYFUNCTION("""COMPUTED_VALUE"""),141.09)</f>
        <v>141.09</v>
      </c>
      <c r="D253" s="2">
        <f>IFERROR(__xludf.DUMMYFUNCTION("""COMPUTED_VALUE"""),138.43)</f>
        <v>138.43</v>
      </c>
      <c r="E253" s="2">
        <f>IFERROR(__xludf.DUMMYFUNCTION("""COMPUTED_VALUE"""),140.36)</f>
        <v>140.36</v>
      </c>
      <c r="F253" s="2">
        <f>IFERROR(__xludf.DUMMYFUNCTION("""COMPUTED_VALUE"""),1.8974308E7)</f>
        <v>18974308</v>
      </c>
    </row>
    <row r="254">
      <c r="A254" s="3">
        <f>IFERROR(__xludf.DUMMYFUNCTION("""COMPUTED_VALUE"""),45295.66666666667)</f>
        <v>45295.66667</v>
      </c>
      <c r="B254" s="2">
        <f>IFERROR(__xludf.DUMMYFUNCTION("""COMPUTED_VALUE"""),139.85)</f>
        <v>139.85</v>
      </c>
      <c r="C254" s="2">
        <f>IFERROR(__xludf.DUMMYFUNCTION("""COMPUTED_VALUE"""),140.64)</f>
        <v>140.64</v>
      </c>
      <c r="D254" s="2">
        <f>IFERROR(__xludf.DUMMYFUNCTION("""COMPUTED_VALUE"""),138.01)</f>
        <v>138.01</v>
      </c>
      <c r="E254" s="2">
        <f>IFERROR(__xludf.DUMMYFUNCTION("""COMPUTED_VALUE"""),138.04)</f>
        <v>138.04</v>
      </c>
      <c r="F254" s="2">
        <f>IFERROR(__xludf.DUMMYFUNCTION("""COMPUTED_VALUE"""),1.8253331E7)</f>
        <v>18253331</v>
      </c>
    </row>
    <row r="255">
      <c r="A255" s="3">
        <f>IFERROR(__xludf.DUMMYFUNCTION("""COMPUTED_VALUE"""),45296.66666666667)</f>
        <v>45296.66667</v>
      </c>
      <c r="B255" s="2">
        <f>IFERROR(__xludf.DUMMYFUNCTION("""COMPUTED_VALUE"""),138.35)</f>
        <v>138.35</v>
      </c>
      <c r="C255" s="2">
        <f>IFERROR(__xludf.DUMMYFUNCTION("""COMPUTED_VALUE"""),138.81)</f>
        <v>138.81</v>
      </c>
      <c r="D255" s="2">
        <f>IFERROR(__xludf.DUMMYFUNCTION("""COMPUTED_VALUE"""),136.85)</f>
        <v>136.85</v>
      </c>
      <c r="E255" s="2">
        <f>IFERROR(__xludf.DUMMYFUNCTION("""COMPUTED_VALUE"""),137.39)</f>
        <v>137.39</v>
      </c>
      <c r="F255" s="2">
        <f>IFERROR(__xludf.DUMMYFUNCTION("""COMPUTED_VALUE"""),1.5439475E7)</f>
        <v>15439475</v>
      </c>
    </row>
    <row r="256">
      <c r="A256" s="3">
        <f>IFERROR(__xludf.DUMMYFUNCTION("""COMPUTED_VALUE"""),45299.66666666667)</f>
        <v>45299.66667</v>
      </c>
      <c r="B256" s="2">
        <f>IFERROR(__xludf.DUMMYFUNCTION("""COMPUTED_VALUE"""),138.0)</f>
        <v>138</v>
      </c>
      <c r="C256" s="2">
        <f>IFERROR(__xludf.DUMMYFUNCTION("""COMPUTED_VALUE"""),140.64)</f>
        <v>140.64</v>
      </c>
      <c r="D256" s="2">
        <f>IFERROR(__xludf.DUMMYFUNCTION("""COMPUTED_VALUE"""),137.88)</f>
        <v>137.88</v>
      </c>
      <c r="E256" s="2">
        <f>IFERROR(__xludf.DUMMYFUNCTION("""COMPUTED_VALUE"""),140.53)</f>
        <v>140.53</v>
      </c>
      <c r="F256" s="2">
        <f>IFERROR(__xludf.DUMMYFUNCTION("""COMPUTED_VALUE"""),1.7645293E7)</f>
        <v>17645293</v>
      </c>
    </row>
    <row r="257">
      <c r="A257" s="3">
        <f>IFERROR(__xludf.DUMMYFUNCTION("""COMPUTED_VALUE"""),45300.66666666667)</f>
        <v>45300.66667</v>
      </c>
      <c r="B257" s="2">
        <f>IFERROR(__xludf.DUMMYFUNCTION("""COMPUTED_VALUE"""),140.06)</f>
        <v>140.06</v>
      </c>
      <c r="C257" s="2">
        <f>IFERROR(__xludf.DUMMYFUNCTION("""COMPUTED_VALUE"""),142.8)</f>
        <v>142.8</v>
      </c>
      <c r="D257" s="2">
        <f>IFERROR(__xludf.DUMMYFUNCTION("""COMPUTED_VALUE"""),139.79)</f>
        <v>139.79</v>
      </c>
      <c r="E257" s="2">
        <f>IFERROR(__xludf.DUMMYFUNCTION("""COMPUTED_VALUE"""),142.56)</f>
        <v>142.56</v>
      </c>
      <c r="F257" s="2">
        <f>IFERROR(__xludf.DUMMYFUNCTION("""COMPUTED_VALUE"""),1.9579667E7)</f>
        <v>19579667</v>
      </c>
    </row>
    <row r="258">
      <c r="A258" s="3">
        <f>IFERROR(__xludf.DUMMYFUNCTION("""COMPUTED_VALUE"""),45301.66666666667)</f>
        <v>45301.66667</v>
      </c>
      <c r="B258" s="2">
        <f>IFERROR(__xludf.DUMMYFUNCTION("""COMPUTED_VALUE"""),142.52)</f>
        <v>142.52</v>
      </c>
      <c r="C258" s="2">
        <f>IFERROR(__xludf.DUMMYFUNCTION("""COMPUTED_VALUE"""),144.53)</f>
        <v>144.53</v>
      </c>
      <c r="D258" s="2">
        <f>IFERROR(__xludf.DUMMYFUNCTION("""COMPUTED_VALUE"""),142.46)</f>
        <v>142.46</v>
      </c>
      <c r="E258" s="2">
        <f>IFERROR(__xludf.DUMMYFUNCTION("""COMPUTED_VALUE"""),143.8)</f>
        <v>143.8</v>
      </c>
      <c r="F258" s="2">
        <f>IFERROR(__xludf.DUMMYFUNCTION("""COMPUTED_VALUE"""),1.6641881E7)</f>
        <v>16641881</v>
      </c>
    </row>
    <row r="259">
      <c r="A259" s="3">
        <f>IFERROR(__xludf.DUMMYFUNCTION("""COMPUTED_VALUE"""),45302.66666666667)</f>
        <v>45302.66667</v>
      </c>
      <c r="B259" s="2">
        <f>IFERROR(__xludf.DUMMYFUNCTION("""COMPUTED_VALUE"""),144.9)</f>
        <v>144.9</v>
      </c>
      <c r="C259" s="2">
        <f>IFERROR(__xludf.DUMMYFUNCTION("""COMPUTED_VALUE"""),146.66)</f>
        <v>146.66</v>
      </c>
      <c r="D259" s="2">
        <f>IFERROR(__xludf.DUMMYFUNCTION("""COMPUTED_VALUE"""),142.22)</f>
        <v>142.22</v>
      </c>
      <c r="E259" s="2">
        <f>IFERROR(__xludf.DUMMYFUNCTION("""COMPUTED_VALUE"""),143.67)</f>
        <v>143.67</v>
      </c>
      <c r="F259" s="2">
        <f>IFERROR(__xludf.DUMMYFUNCTION("""COMPUTED_VALUE"""),1.747113E7)</f>
        <v>17471130</v>
      </c>
    </row>
    <row r="260">
      <c r="A260" s="3">
        <f>IFERROR(__xludf.DUMMYFUNCTION("""COMPUTED_VALUE"""),45303.66666666667)</f>
        <v>45303.66667</v>
      </c>
      <c r="B260" s="2">
        <f>IFERROR(__xludf.DUMMYFUNCTION("""COMPUTED_VALUE"""),144.34)</f>
        <v>144.34</v>
      </c>
      <c r="C260" s="2">
        <f>IFERROR(__xludf.DUMMYFUNCTION("""COMPUTED_VALUE"""),144.74)</f>
        <v>144.74</v>
      </c>
      <c r="D260" s="2">
        <f>IFERROR(__xludf.DUMMYFUNCTION("""COMPUTED_VALUE"""),143.36)</f>
        <v>143.36</v>
      </c>
      <c r="E260" s="2">
        <f>IFERROR(__xludf.DUMMYFUNCTION("""COMPUTED_VALUE"""),144.24)</f>
        <v>144.24</v>
      </c>
      <c r="F260" s="2">
        <f>IFERROR(__xludf.DUMMYFUNCTION("""COMPUTED_VALUE"""),1.3998729E7)</f>
        <v>13998729</v>
      </c>
    </row>
    <row r="261">
      <c r="A261" s="3">
        <f>IFERROR(__xludf.DUMMYFUNCTION("""COMPUTED_VALUE"""),45307.66666666667)</f>
        <v>45307.66667</v>
      </c>
      <c r="B261" s="2">
        <f>IFERROR(__xludf.DUMMYFUNCTION("""COMPUTED_VALUE"""),143.43)</f>
        <v>143.43</v>
      </c>
      <c r="C261" s="2">
        <f>IFERROR(__xludf.DUMMYFUNCTION("""COMPUTED_VALUE"""),145.84)</f>
        <v>145.84</v>
      </c>
      <c r="D261" s="2">
        <f>IFERROR(__xludf.DUMMYFUNCTION("""COMPUTED_VALUE"""),143.06)</f>
        <v>143.06</v>
      </c>
      <c r="E261" s="2">
        <f>IFERROR(__xludf.DUMMYFUNCTION("""COMPUTED_VALUE"""),144.08)</f>
        <v>144.08</v>
      </c>
      <c r="F261" s="2">
        <f>IFERROR(__xludf.DUMMYFUNCTION("""COMPUTED_VALUE"""),1.9198939E7)</f>
        <v>19198939</v>
      </c>
    </row>
    <row r="262">
      <c r="A262" s="3">
        <f>IFERROR(__xludf.DUMMYFUNCTION("""COMPUTED_VALUE"""),45308.66666666667)</f>
        <v>45308.66667</v>
      </c>
      <c r="B262" s="2">
        <f>IFERROR(__xludf.DUMMYFUNCTION("""COMPUTED_VALUE"""),142.91)</f>
        <v>142.91</v>
      </c>
      <c r="C262" s="2">
        <f>IFERROR(__xludf.DUMMYFUNCTION("""COMPUTED_VALUE"""),143.41)</f>
        <v>143.41</v>
      </c>
      <c r="D262" s="2">
        <f>IFERROR(__xludf.DUMMYFUNCTION("""COMPUTED_VALUE"""),140.51)</f>
        <v>140.51</v>
      </c>
      <c r="E262" s="2">
        <f>IFERROR(__xludf.DUMMYFUNCTION("""COMPUTED_VALUE"""),142.89)</f>
        <v>142.89</v>
      </c>
      <c r="F262" s="2">
        <f>IFERROR(__xludf.DUMMYFUNCTION("""COMPUTED_VALUE"""),1.7884548E7)</f>
        <v>17884548</v>
      </c>
    </row>
    <row r="263">
      <c r="A263" s="3">
        <f>IFERROR(__xludf.DUMMYFUNCTION("""COMPUTED_VALUE"""),45309.66666666667)</f>
        <v>45309.66667</v>
      </c>
      <c r="B263" s="2">
        <f>IFERROR(__xludf.DUMMYFUNCTION("""COMPUTED_VALUE"""),143.44)</f>
        <v>143.44</v>
      </c>
      <c r="C263" s="2">
        <f>IFERROR(__xludf.DUMMYFUNCTION("""COMPUTED_VALUE"""),145.59)</f>
        <v>145.59</v>
      </c>
      <c r="D263" s="2">
        <f>IFERROR(__xludf.DUMMYFUNCTION("""COMPUTED_VALUE"""),143.35)</f>
        <v>143.35</v>
      </c>
      <c r="E263" s="2">
        <f>IFERROR(__xludf.DUMMYFUNCTION("""COMPUTED_VALUE"""),144.99)</f>
        <v>144.99</v>
      </c>
      <c r="F263" s="2">
        <f>IFERROR(__xludf.DUMMYFUNCTION("""COMPUTED_VALUE"""),1.88768E7)</f>
        <v>18876800</v>
      </c>
    </row>
    <row r="264">
      <c r="A264" s="3">
        <f>IFERROR(__xludf.DUMMYFUNCTION("""COMPUTED_VALUE"""),45310.66666666667)</f>
        <v>45310.66667</v>
      </c>
      <c r="B264" s="2">
        <f>IFERROR(__xludf.DUMMYFUNCTION("""COMPUTED_VALUE"""),146.31)</f>
        <v>146.31</v>
      </c>
      <c r="C264" s="2">
        <f>IFERROR(__xludf.DUMMYFUNCTION("""COMPUTED_VALUE"""),148.04)</f>
        <v>148.04</v>
      </c>
      <c r="D264" s="2">
        <f>IFERROR(__xludf.DUMMYFUNCTION("""COMPUTED_VALUE"""),145.8)</f>
        <v>145.8</v>
      </c>
      <c r="E264" s="2">
        <f>IFERROR(__xludf.DUMMYFUNCTION("""COMPUTED_VALUE"""),147.97)</f>
        <v>147.97</v>
      </c>
      <c r="F264" s="2">
        <f>IFERROR(__xludf.DUMMYFUNCTION("""COMPUTED_VALUE"""),2.7181032E7)</f>
        <v>27181032</v>
      </c>
    </row>
    <row r="265">
      <c r="A265" s="3">
        <f>IFERROR(__xludf.DUMMYFUNCTION("""COMPUTED_VALUE"""),45313.66666666667)</f>
        <v>45313.66667</v>
      </c>
      <c r="B265" s="2">
        <f>IFERROR(__xludf.DUMMYFUNCTION("""COMPUTED_VALUE"""),148.71)</f>
        <v>148.71</v>
      </c>
      <c r="C265" s="2">
        <f>IFERROR(__xludf.DUMMYFUNCTION("""COMPUTED_VALUE"""),150.01)</f>
        <v>150.01</v>
      </c>
      <c r="D265" s="2">
        <f>IFERROR(__xludf.DUMMYFUNCTION("""COMPUTED_VALUE"""),147.58)</f>
        <v>147.58</v>
      </c>
      <c r="E265" s="2">
        <f>IFERROR(__xludf.DUMMYFUNCTION("""COMPUTED_VALUE"""),147.71)</f>
        <v>147.71</v>
      </c>
      <c r="F265" s="2">
        <f>IFERROR(__xludf.DUMMYFUNCTION("""COMPUTED_VALUE"""),2.1829232E7)</f>
        <v>21829232</v>
      </c>
    </row>
    <row r="266">
      <c r="A266" s="3">
        <f>IFERROR(__xludf.DUMMYFUNCTION("""COMPUTED_VALUE"""),45314.66666666667)</f>
        <v>45314.66667</v>
      </c>
      <c r="B266" s="2">
        <f>IFERROR(__xludf.DUMMYFUNCTION("""COMPUTED_VALUE"""),147.72)</f>
        <v>147.72</v>
      </c>
      <c r="C266" s="2">
        <f>IFERROR(__xludf.DUMMYFUNCTION("""COMPUTED_VALUE"""),148.86)</f>
        <v>148.86</v>
      </c>
      <c r="D266" s="2">
        <f>IFERROR(__xludf.DUMMYFUNCTION("""COMPUTED_VALUE"""),147.19)</f>
        <v>147.19</v>
      </c>
      <c r="E266" s="2">
        <f>IFERROR(__xludf.DUMMYFUNCTION("""COMPUTED_VALUE"""),148.68)</f>
        <v>148.68</v>
      </c>
      <c r="F266" s="2">
        <f>IFERROR(__xludf.DUMMYFUNCTION("""COMPUTED_VALUE"""),1.4113649E7)</f>
        <v>14113649</v>
      </c>
    </row>
    <row r="267">
      <c r="A267" s="3">
        <f>IFERROR(__xludf.DUMMYFUNCTION("""COMPUTED_VALUE"""),45315.66666666667)</f>
        <v>45315.66667</v>
      </c>
      <c r="B267" s="2">
        <f>IFERROR(__xludf.DUMMYFUNCTION("""COMPUTED_VALUE"""),150.29)</f>
        <v>150.29</v>
      </c>
      <c r="C267" s="2">
        <f>IFERROR(__xludf.DUMMYFUNCTION("""COMPUTED_VALUE"""),151.57)</f>
        <v>151.57</v>
      </c>
      <c r="D267" s="2">
        <f>IFERROR(__xludf.DUMMYFUNCTION("""COMPUTED_VALUE"""),149.84)</f>
        <v>149.84</v>
      </c>
      <c r="E267" s="2">
        <f>IFERROR(__xludf.DUMMYFUNCTION("""COMPUTED_VALUE"""),150.35)</f>
        <v>150.35</v>
      </c>
      <c r="F267" s="2">
        <f>IFERROR(__xludf.DUMMYFUNCTION("""COMPUTED_VALUE"""),1.9245031E7)</f>
        <v>19245031</v>
      </c>
    </row>
    <row r="268">
      <c r="A268" s="3">
        <f>IFERROR(__xludf.DUMMYFUNCTION("""COMPUTED_VALUE"""),45316.66666666667)</f>
        <v>45316.66667</v>
      </c>
      <c r="B268" s="2">
        <f>IFERROR(__xludf.DUMMYFUNCTION("""COMPUTED_VALUE"""),151.74)</f>
        <v>151.74</v>
      </c>
      <c r="C268" s="2">
        <f>IFERROR(__xludf.DUMMYFUNCTION("""COMPUTED_VALUE"""),154.76)</f>
        <v>154.76</v>
      </c>
      <c r="D268" s="2">
        <f>IFERROR(__xludf.DUMMYFUNCTION("""COMPUTED_VALUE"""),151.22)</f>
        <v>151.22</v>
      </c>
      <c r="E268" s="2">
        <f>IFERROR(__xludf.DUMMYFUNCTION("""COMPUTED_VALUE"""),153.64)</f>
        <v>153.64</v>
      </c>
      <c r="F268" s="2">
        <f>IFERROR(__xludf.DUMMYFUNCTION("""COMPUTED_VALUE"""),2.149512E7)</f>
        <v>21495120</v>
      </c>
    </row>
    <row r="269">
      <c r="A269" s="3">
        <f>IFERROR(__xludf.DUMMYFUNCTION("""COMPUTED_VALUE"""),45317.66666666667)</f>
        <v>45317.66667</v>
      </c>
      <c r="B269" s="2">
        <f>IFERROR(__xludf.DUMMYFUNCTION("""COMPUTED_VALUE"""),152.87)</f>
        <v>152.87</v>
      </c>
      <c r="C269" s="2">
        <f>IFERROR(__xludf.DUMMYFUNCTION("""COMPUTED_VALUE"""),154.11)</f>
        <v>154.11</v>
      </c>
      <c r="D269" s="2">
        <f>IFERROR(__xludf.DUMMYFUNCTION("""COMPUTED_VALUE"""),152.8)</f>
        <v>152.8</v>
      </c>
      <c r="E269" s="2">
        <f>IFERROR(__xludf.DUMMYFUNCTION("""COMPUTED_VALUE"""),153.79)</f>
        <v>153.79</v>
      </c>
      <c r="F269" s="2">
        <f>IFERROR(__xludf.DUMMYFUNCTION("""COMPUTED_VALUE"""),1.9494488E7)</f>
        <v>19494488</v>
      </c>
    </row>
    <row r="270">
      <c r="A270" s="3">
        <f>IFERROR(__xludf.DUMMYFUNCTION("""COMPUTED_VALUE"""),45320.66666666667)</f>
        <v>45320.66667</v>
      </c>
      <c r="B270" s="2">
        <f>IFERROR(__xludf.DUMMYFUNCTION("""COMPUTED_VALUE"""),153.64)</f>
        <v>153.64</v>
      </c>
      <c r="C270" s="2">
        <f>IFERROR(__xludf.DUMMYFUNCTION("""COMPUTED_VALUE"""),155.2)</f>
        <v>155.2</v>
      </c>
      <c r="D270" s="2">
        <f>IFERROR(__xludf.DUMMYFUNCTION("""COMPUTED_VALUE"""),152.92)</f>
        <v>152.92</v>
      </c>
      <c r="E270" s="2">
        <f>IFERROR(__xludf.DUMMYFUNCTION("""COMPUTED_VALUE"""),154.84)</f>
        <v>154.84</v>
      </c>
      <c r="F270" s="2">
        <f>IFERROR(__xludf.DUMMYFUNCTION("""COMPUTED_VALUE"""),2.0909258E7)</f>
        <v>20909258</v>
      </c>
    </row>
    <row r="271">
      <c r="A271" s="3">
        <f>IFERROR(__xludf.DUMMYFUNCTION("""COMPUTED_VALUE"""),45321.66666666667)</f>
        <v>45321.66667</v>
      </c>
      <c r="B271" s="2">
        <f>IFERROR(__xludf.DUMMYFUNCTION("""COMPUTED_VALUE"""),154.01)</f>
        <v>154.01</v>
      </c>
      <c r="C271" s="2">
        <f>IFERROR(__xludf.DUMMYFUNCTION("""COMPUTED_VALUE"""),155.04)</f>
        <v>155.04</v>
      </c>
      <c r="D271" s="2">
        <f>IFERROR(__xludf.DUMMYFUNCTION("""COMPUTED_VALUE"""),152.78)</f>
        <v>152.78</v>
      </c>
      <c r="E271" s="2">
        <f>IFERROR(__xludf.DUMMYFUNCTION("""COMPUTED_VALUE"""),153.05)</f>
        <v>153.05</v>
      </c>
      <c r="F271" s="2">
        <f>IFERROR(__xludf.DUMMYFUNCTION("""COMPUTED_VALUE"""),2.6578934E7)</f>
        <v>26578934</v>
      </c>
    </row>
    <row r="272">
      <c r="A272" s="3">
        <f>IFERROR(__xludf.DUMMYFUNCTION("""COMPUTED_VALUE"""),45322.66666666667)</f>
        <v>45322.66667</v>
      </c>
      <c r="B272" s="2">
        <f>IFERROR(__xludf.DUMMYFUNCTION("""COMPUTED_VALUE"""),145.39)</f>
        <v>145.39</v>
      </c>
      <c r="C272" s="2">
        <f>IFERROR(__xludf.DUMMYFUNCTION("""COMPUTED_VALUE"""),145.59)</f>
        <v>145.59</v>
      </c>
      <c r="D272" s="2">
        <f>IFERROR(__xludf.DUMMYFUNCTION("""COMPUTED_VALUE"""),141.55)</f>
        <v>141.55</v>
      </c>
      <c r="E272" s="2">
        <f>IFERROR(__xludf.DUMMYFUNCTION("""COMPUTED_VALUE"""),141.8)</f>
        <v>141.8</v>
      </c>
      <c r="F272" s="2">
        <f>IFERROR(__xludf.DUMMYFUNCTION("""COMPUTED_VALUE"""),4.3908584E7)</f>
        <v>43908584</v>
      </c>
    </row>
    <row r="273">
      <c r="A273" s="3">
        <f>IFERROR(__xludf.DUMMYFUNCTION("""COMPUTED_VALUE"""),45323.66666666667)</f>
        <v>45323.66667</v>
      </c>
      <c r="B273" s="2">
        <f>IFERROR(__xludf.DUMMYFUNCTION("""COMPUTED_VALUE"""),143.69)</f>
        <v>143.69</v>
      </c>
      <c r="C273" s="2">
        <f>IFERROR(__xludf.DUMMYFUNCTION("""COMPUTED_VALUE"""),144.62)</f>
        <v>144.62</v>
      </c>
      <c r="D273" s="2">
        <f>IFERROR(__xludf.DUMMYFUNCTION("""COMPUTED_VALUE"""),142.26)</f>
        <v>142.26</v>
      </c>
      <c r="E273" s="2">
        <f>IFERROR(__xludf.DUMMYFUNCTION("""COMPUTED_VALUE"""),142.71)</f>
        <v>142.71</v>
      </c>
      <c r="F273" s="2">
        <f>IFERROR(__xludf.DUMMYFUNCTION("""COMPUTED_VALUE"""),2.5526855E7)</f>
        <v>25526855</v>
      </c>
    </row>
    <row r="274">
      <c r="A274" s="3">
        <f>IFERROR(__xludf.DUMMYFUNCTION("""COMPUTED_VALUE"""),45324.66666666667)</f>
        <v>45324.66667</v>
      </c>
      <c r="B274" s="2">
        <f>IFERROR(__xludf.DUMMYFUNCTION("""COMPUTED_VALUE"""),140.89)</f>
        <v>140.89</v>
      </c>
      <c r="C274" s="2">
        <f>IFERROR(__xludf.DUMMYFUNCTION("""COMPUTED_VALUE"""),143.88)</f>
        <v>143.88</v>
      </c>
      <c r="D274" s="2">
        <f>IFERROR(__xludf.DUMMYFUNCTION("""COMPUTED_VALUE"""),138.17)</f>
        <v>138.17</v>
      </c>
      <c r="E274" s="2">
        <f>IFERROR(__xludf.DUMMYFUNCTION("""COMPUTED_VALUE"""),143.54)</f>
        <v>143.54</v>
      </c>
      <c r="F274" s="2">
        <f>IFERROR(__xludf.DUMMYFUNCTION("""COMPUTED_VALUE"""),4.2136127E7)</f>
        <v>42136127</v>
      </c>
    </row>
    <row r="275">
      <c r="A275" s="3">
        <f>IFERROR(__xludf.DUMMYFUNCTION("""COMPUTED_VALUE"""),45327.66666666667)</f>
        <v>45327.66667</v>
      </c>
      <c r="B275" s="2">
        <f>IFERROR(__xludf.DUMMYFUNCTION("""COMPUTED_VALUE"""),144.04)</f>
        <v>144.04</v>
      </c>
      <c r="C275" s="2">
        <f>IFERROR(__xludf.DUMMYFUNCTION("""COMPUTED_VALUE"""),146.67)</f>
        <v>146.67</v>
      </c>
      <c r="D275" s="2">
        <f>IFERROR(__xludf.DUMMYFUNCTION("""COMPUTED_VALUE"""),143.91)</f>
        <v>143.91</v>
      </c>
      <c r="E275" s="2">
        <f>IFERROR(__xludf.DUMMYFUNCTION("""COMPUTED_VALUE"""),144.93)</f>
        <v>144.93</v>
      </c>
      <c r="F275" s="2">
        <f>IFERROR(__xludf.DUMMYFUNCTION("""COMPUTED_VALUE"""),2.9254444E7)</f>
        <v>29254444</v>
      </c>
    </row>
    <row r="276">
      <c r="A276" s="3">
        <f>IFERROR(__xludf.DUMMYFUNCTION("""COMPUTED_VALUE"""),45328.66666666667)</f>
        <v>45328.66667</v>
      </c>
      <c r="B276" s="2">
        <f>IFERROR(__xludf.DUMMYFUNCTION("""COMPUTED_VALUE"""),145.96)</f>
        <v>145.96</v>
      </c>
      <c r="C276" s="2">
        <f>IFERROR(__xludf.DUMMYFUNCTION("""COMPUTED_VALUE"""),146.74)</f>
        <v>146.74</v>
      </c>
      <c r="D276" s="2">
        <f>IFERROR(__xludf.DUMMYFUNCTION("""COMPUTED_VALUE"""),144.52)</f>
        <v>144.52</v>
      </c>
      <c r="E276" s="2">
        <f>IFERROR(__xludf.DUMMYFUNCTION("""COMPUTED_VALUE"""),145.41)</f>
        <v>145.41</v>
      </c>
      <c r="F276" s="2">
        <f>IFERROR(__xludf.DUMMYFUNCTION("""COMPUTED_VALUE"""),2.1517655E7)</f>
        <v>21517655</v>
      </c>
    </row>
    <row r="277">
      <c r="A277" s="3">
        <f>IFERROR(__xludf.DUMMYFUNCTION("""COMPUTED_VALUE"""),45329.66666666667)</f>
        <v>45329.66667</v>
      </c>
      <c r="B277" s="2">
        <f>IFERROR(__xludf.DUMMYFUNCTION("""COMPUTED_VALUE"""),146.12)</f>
        <v>146.12</v>
      </c>
      <c r="C277" s="2">
        <f>IFERROR(__xludf.DUMMYFUNCTION("""COMPUTED_VALUE"""),147.0)</f>
        <v>147</v>
      </c>
      <c r="D277" s="2">
        <f>IFERROR(__xludf.DUMMYFUNCTION("""COMPUTED_VALUE"""),145.21)</f>
        <v>145.21</v>
      </c>
      <c r="E277" s="2">
        <f>IFERROR(__xludf.DUMMYFUNCTION("""COMPUTED_VALUE"""),146.68)</f>
        <v>146.68</v>
      </c>
      <c r="F277" s="2">
        <f>IFERROR(__xludf.DUMMYFUNCTION("""COMPUTED_VALUE"""),2.1436126E7)</f>
        <v>21436126</v>
      </c>
    </row>
    <row r="278">
      <c r="A278" s="3">
        <f>IFERROR(__xludf.DUMMYFUNCTION("""COMPUTED_VALUE"""),45330.66666666667)</f>
        <v>45330.66667</v>
      </c>
      <c r="B278" s="2">
        <f>IFERROR(__xludf.DUMMYFUNCTION("""COMPUTED_VALUE"""),146.97)</f>
        <v>146.97</v>
      </c>
      <c r="C278" s="2">
        <f>IFERROR(__xludf.DUMMYFUNCTION("""COMPUTED_VALUE"""),147.61)</f>
        <v>147.61</v>
      </c>
      <c r="D278" s="2">
        <f>IFERROR(__xludf.DUMMYFUNCTION("""COMPUTED_VALUE"""),146.42)</f>
        <v>146.42</v>
      </c>
      <c r="E278" s="2">
        <f>IFERROR(__xludf.DUMMYFUNCTION("""COMPUTED_VALUE"""),147.22)</f>
        <v>147.22</v>
      </c>
      <c r="F278" s="2">
        <f>IFERROR(__xludf.DUMMYFUNCTION("""COMPUTED_VALUE"""),1.8241319E7)</f>
        <v>18241319</v>
      </c>
    </row>
    <row r="279">
      <c r="A279" s="3">
        <f>IFERROR(__xludf.DUMMYFUNCTION("""COMPUTED_VALUE"""),45331.66666666667)</f>
        <v>45331.66667</v>
      </c>
      <c r="B279" s="2">
        <f>IFERROR(__xludf.DUMMYFUNCTION("""COMPUTED_VALUE"""),147.95)</f>
        <v>147.95</v>
      </c>
      <c r="C279" s="2">
        <f>IFERROR(__xludf.DUMMYFUNCTION("""COMPUTED_VALUE"""),150.7)</f>
        <v>150.7</v>
      </c>
      <c r="D279" s="2">
        <f>IFERROR(__xludf.DUMMYFUNCTION("""COMPUTED_VALUE"""),147.43)</f>
        <v>147.43</v>
      </c>
      <c r="E279" s="2">
        <f>IFERROR(__xludf.DUMMYFUNCTION("""COMPUTED_VALUE"""),150.22)</f>
        <v>150.22</v>
      </c>
      <c r="F279" s="2">
        <f>IFERROR(__xludf.DUMMYFUNCTION("""COMPUTED_VALUE"""),2.1877693E7)</f>
        <v>21877693</v>
      </c>
    </row>
    <row r="280">
      <c r="A280" s="3">
        <f>IFERROR(__xludf.DUMMYFUNCTION("""COMPUTED_VALUE"""),45334.66666666667)</f>
        <v>45334.66667</v>
      </c>
      <c r="B280" s="2">
        <f>IFERROR(__xludf.DUMMYFUNCTION("""COMPUTED_VALUE"""),149.54)</f>
        <v>149.54</v>
      </c>
      <c r="C280" s="2">
        <f>IFERROR(__xludf.DUMMYFUNCTION("""COMPUTED_VALUE"""),150.59)</f>
        <v>150.59</v>
      </c>
      <c r="D280" s="2">
        <f>IFERROR(__xludf.DUMMYFUNCTION("""COMPUTED_VALUE"""),148.56)</f>
        <v>148.56</v>
      </c>
      <c r="E280" s="2">
        <f>IFERROR(__xludf.DUMMYFUNCTION("""COMPUTED_VALUE"""),148.73)</f>
        <v>148.73</v>
      </c>
      <c r="F280" s="2">
        <f>IFERROR(__xludf.DUMMYFUNCTION("""COMPUTED_VALUE"""),1.7236108E7)</f>
        <v>17236108</v>
      </c>
    </row>
    <row r="281">
      <c r="A281" s="3">
        <f>IFERROR(__xludf.DUMMYFUNCTION("""COMPUTED_VALUE"""),45335.66666666667)</f>
        <v>45335.66667</v>
      </c>
      <c r="B281" s="2">
        <f>IFERROR(__xludf.DUMMYFUNCTION("""COMPUTED_VALUE"""),146.07)</f>
        <v>146.07</v>
      </c>
      <c r="C281" s="2">
        <f>IFERROR(__xludf.DUMMYFUNCTION("""COMPUTED_VALUE"""),148.04)</f>
        <v>148.04</v>
      </c>
      <c r="D281" s="2">
        <f>IFERROR(__xludf.DUMMYFUNCTION("""COMPUTED_VALUE"""),145.11)</f>
        <v>145.11</v>
      </c>
      <c r="E281" s="2">
        <f>IFERROR(__xludf.DUMMYFUNCTION("""COMPUTED_VALUE"""),146.37)</f>
        <v>146.37</v>
      </c>
      <c r="F281" s="2">
        <f>IFERROR(__xludf.DUMMYFUNCTION("""COMPUTED_VALUE"""),1.8138482E7)</f>
        <v>18138482</v>
      </c>
    </row>
    <row r="282">
      <c r="A282" s="3">
        <f>IFERROR(__xludf.DUMMYFUNCTION("""COMPUTED_VALUE"""),45336.66666666667)</f>
        <v>45336.66667</v>
      </c>
      <c r="B282" s="2">
        <f>IFERROR(__xludf.DUMMYFUNCTION("""COMPUTED_VALUE"""),147.37)</f>
        <v>147.37</v>
      </c>
      <c r="C282" s="2">
        <f>IFERROR(__xludf.DUMMYFUNCTION("""COMPUTED_VALUE"""),147.83)</f>
        <v>147.83</v>
      </c>
      <c r="D282" s="2">
        <f>IFERROR(__xludf.DUMMYFUNCTION("""COMPUTED_VALUE"""),145.56)</f>
        <v>145.56</v>
      </c>
      <c r="E282" s="2">
        <f>IFERROR(__xludf.DUMMYFUNCTION("""COMPUTED_VALUE"""),147.14)</f>
        <v>147.14</v>
      </c>
      <c r="F282" s="2">
        <f>IFERROR(__xludf.DUMMYFUNCTION("""COMPUTED_VALUE"""),1.6651824E7)</f>
        <v>16651824</v>
      </c>
    </row>
    <row r="283">
      <c r="A283" s="3">
        <f>IFERROR(__xludf.DUMMYFUNCTION("""COMPUTED_VALUE"""),45337.66666666667)</f>
        <v>45337.66667</v>
      </c>
      <c r="B283" s="2">
        <f>IFERROR(__xludf.DUMMYFUNCTION("""COMPUTED_VALUE"""),144.46)</f>
        <v>144.46</v>
      </c>
      <c r="C283" s="2">
        <f>IFERROR(__xludf.DUMMYFUNCTION("""COMPUTED_VALUE"""),144.76)</f>
        <v>144.76</v>
      </c>
      <c r="D283" s="2">
        <f>IFERROR(__xludf.DUMMYFUNCTION("""COMPUTED_VALUE"""),141.88)</f>
        <v>141.88</v>
      </c>
      <c r="E283" s="2">
        <f>IFERROR(__xludf.DUMMYFUNCTION("""COMPUTED_VALUE"""),143.94)</f>
        <v>143.94</v>
      </c>
      <c r="F283" s="2">
        <f>IFERROR(__xludf.DUMMYFUNCTION("""COMPUTED_VALUE"""),2.6724305E7)</f>
        <v>26724305</v>
      </c>
    </row>
    <row r="284">
      <c r="A284" s="3">
        <f>IFERROR(__xludf.DUMMYFUNCTION("""COMPUTED_VALUE"""),45338.66666666667)</f>
        <v>45338.66667</v>
      </c>
      <c r="B284" s="2">
        <f>IFERROR(__xludf.DUMMYFUNCTION("""COMPUTED_VALUE"""),144.21)</f>
        <v>144.21</v>
      </c>
      <c r="C284" s="2">
        <f>IFERROR(__xludf.DUMMYFUNCTION("""COMPUTED_VALUE"""),144.48)</f>
        <v>144.48</v>
      </c>
      <c r="D284" s="2">
        <f>IFERROR(__xludf.DUMMYFUNCTION("""COMPUTED_VALUE"""),141.52)</f>
        <v>141.52</v>
      </c>
      <c r="E284" s="2">
        <f>IFERROR(__xludf.DUMMYFUNCTION("""COMPUTED_VALUE"""),141.76)</f>
        <v>141.76</v>
      </c>
      <c r="F284" s="2">
        <f>IFERROR(__xludf.DUMMYFUNCTION("""COMPUTED_VALUE"""),2.1865118E7)</f>
        <v>21865118</v>
      </c>
    </row>
    <row r="285">
      <c r="A285" s="3">
        <f>IFERROR(__xludf.DUMMYFUNCTION("""COMPUTED_VALUE"""),45342.66666666667)</f>
        <v>45342.66667</v>
      </c>
      <c r="B285" s="2">
        <f>IFERROR(__xludf.DUMMYFUNCTION("""COMPUTED_VALUE"""),140.94)</f>
        <v>140.94</v>
      </c>
      <c r="C285" s="2">
        <f>IFERROR(__xludf.DUMMYFUNCTION("""COMPUTED_VALUE"""),143.33)</f>
        <v>143.33</v>
      </c>
      <c r="D285" s="2">
        <f>IFERROR(__xludf.DUMMYFUNCTION("""COMPUTED_VALUE"""),140.8)</f>
        <v>140.8</v>
      </c>
      <c r="E285" s="2">
        <f>IFERROR(__xludf.DUMMYFUNCTION("""COMPUTED_VALUE"""),142.2)</f>
        <v>142.2</v>
      </c>
      <c r="F285" s="2">
        <f>IFERROR(__xludf.DUMMYFUNCTION("""COMPUTED_VALUE"""),1.8625589E7)</f>
        <v>18625589</v>
      </c>
    </row>
    <row r="286">
      <c r="A286" s="3">
        <f>IFERROR(__xludf.DUMMYFUNCTION("""COMPUTED_VALUE"""),45343.66666666667)</f>
        <v>45343.66667</v>
      </c>
      <c r="B286" s="2">
        <f>IFERROR(__xludf.DUMMYFUNCTION("""COMPUTED_VALUE"""),142.64)</f>
        <v>142.64</v>
      </c>
      <c r="C286" s="2">
        <f>IFERROR(__xludf.DUMMYFUNCTION("""COMPUTED_VALUE"""),143.98)</f>
        <v>143.98</v>
      </c>
      <c r="D286" s="2">
        <f>IFERROR(__xludf.DUMMYFUNCTION("""COMPUTED_VALUE"""),141.91)</f>
        <v>141.91</v>
      </c>
      <c r="E286" s="2">
        <f>IFERROR(__xludf.DUMMYFUNCTION("""COMPUTED_VALUE"""),143.84)</f>
        <v>143.84</v>
      </c>
      <c r="F286" s="2">
        <f>IFERROR(__xludf.DUMMYFUNCTION("""COMPUTED_VALUE"""),1.6499584E7)</f>
        <v>16499584</v>
      </c>
    </row>
    <row r="287">
      <c r="A287" s="3">
        <f>IFERROR(__xludf.DUMMYFUNCTION("""COMPUTED_VALUE"""),45344.66666666667)</f>
        <v>45344.66667</v>
      </c>
      <c r="B287" s="2">
        <f>IFERROR(__xludf.DUMMYFUNCTION("""COMPUTED_VALUE"""),146.12)</f>
        <v>146.12</v>
      </c>
      <c r="C287" s="2">
        <f>IFERROR(__xludf.DUMMYFUNCTION("""COMPUTED_VALUE"""),146.2)</f>
        <v>146.2</v>
      </c>
      <c r="D287" s="2">
        <f>IFERROR(__xludf.DUMMYFUNCTION("""COMPUTED_VALUE"""),144.01)</f>
        <v>144.01</v>
      </c>
      <c r="E287" s="2">
        <f>IFERROR(__xludf.DUMMYFUNCTION("""COMPUTED_VALUE"""),145.32)</f>
        <v>145.32</v>
      </c>
      <c r="F287" s="2">
        <f>IFERROR(__xludf.DUMMYFUNCTION("""COMPUTED_VALUE"""),2.3024707E7)</f>
        <v>23024707</v>
      </c>
    </row>
    <row r="288">
      <c r="A288" s="3">
        <f>IFERROR(__xludf.DUMMYFUNCTION("""COMPUTED_VALUE"""),45345.66666666667)</f>
        <v>45345.66667</v>
      </c>
      <c r="B288" s="2">
        <f>IFERROR(__xludf.DUMMYFUNCTION("""COMPUTED_VALUE"""),144.97)</f>
        <v>144.97</v>
      </c>
      <c r="C288" s="2">
        <f>IFERROR(__xludf.DUMMYFUNCTION("""COMPUTED_VALUE"""),145.96)</f>
        <v>145.96</v>
      </c>
      <c r="D288" s="2">
        <f>IFERROR(__xludf.DUMMYFUNCTION("""COMPUTED_VALUE"""),144.79)</f>
        <v>144.79</v>
      </c>
      <c r="E288" s="2">
        <f>IFERROR(__xludf.DUMMYFUNCTION("""COMPUTED_VALUE"""),145.29)</f>
        <v>145.29</v>
      </c>
      <c r="F288" s="2">
        <f>IFERROR(__xludf.DUMMYFUNCTION("""COMPUTED_VALUE"""),1.4519434E7)</f>
        <v>14519434</v>
      </c>
    </row>
    <row r="289">
      <c r="A289" s="3">
        <f>IFERROR(__xludf.DUMMYFUNCTION("""COMPUTED_VALUE"""),45348.66666666667)</f>
        <v>45348.66667</v>
      </c>
      <c r="B289" s="2">
        <f>IFERROR(__xludf.DUMMYFUNCTION("""COMPUTED_VALUE"""),143.45)</f>
        <v>143.45</v>
      </c>
      <c r="C289" s="2">
        <f>IFERROR(__xludf.DUMMYFUNCTION("""COMPUTED_VALUE"""),143.84)</f>
        <v>143.84</v>
      </c>
      <c r="D289" s="2">
        <f>IFERROR(__xludf.DUMMYFUNCTION("""COMPUTED_VALUE"""),138.74)</f>
        <v>138.74</v>
      </c>
      <c r="E289" s="2">
        <f>IFERROR(__xludf.DUMMYFUNCTION("""COMPUTED_VALUE"""),138.75)</f>
        <v>138.75</v>
      </c>
      <c r="F289" s="2">
        <f>IFERROR(__xludf.DUMMYFUNCTION("""COMPUTED_VALUE"""),3.3513011E7)</f>
        <v>33513011</v>
      </c>
    </row>
    <row r="290">
      <c r="A290" s="3">
        <f>IFERROR(__xludf.DUMMYFUNCTION("""COMPUTED_VALUE"""),45349.66666666667)</f>
        <v>45349.66667</v>
      </c>
      <c r="B290" s="2">
        <f>IFERROR(__xludf.DUMMYFUNCTION("""COMPUTED_VALUE"""),139.41)</f>
        <v>139.41</v>
      </c>
      <c r="C290" s="2">
        <f>IFERROR(__xludf.DUMMYFUNCTION("""COMPUTED_VALUE"""),140.49)</f>
        <v>140.49</v>
      </c>
      <c r="D290" s="2">
        <f>IFERROR(__xludf.DUMMYFUNCTION("""COMPUTED_VALUE"""),138.5)</f>
        <v>138.5</v>
      </c>
      <c r="E290" s="2">
        <f>IFERROR(__xludf.DUMMYFUNCTION("""COMPUTED_VALUE"""),140.1)</f>
        <v>140.1</v>
      </c>
      <c r="F290" s="2">
        <f>IFERROR(__xludf.DUMMYFUNCTION("""COMPUTED_VALUE"""),2.2363981E7)</f>
        <v>22363981</v>
      </c>
    </row>
    <row r="291">
      <c r="A291" s="3">
        <f>IFERROR(__xludf.DUMMYFUNCTION("""COMPUTED_VALUE"""),45350.66666666667)</f>
        <v>45350.66667</v>
      </c>
      <c r="B291" s="2">
        <f>IFERROR(__xludf.DUMMYFUNCTION("""COMPUTED_VALUE"""),139.1)</f>
        <v>139.1</v>
      </c>
      <c r="C291" s="2">
        <f>IFERROR(__xludf.DUMMYFUNCTION("""COMPUTED_VALUE"""),139.28)</f>
        <v>139.28</v>
      </c>
      <c r="D291" s="2">
        <f>IFERROR(__xludf.DUMMYFUNCTION("""COMPUTED_VALUE"""),136.64)</f>
        <v>136.64</v>
      </c>
      <c r="E291" s="2">
        <f>IFERROR(__xludf.DUMMYFUNCTION("""COMPUTED_VALUE"""),137.43)</f>
        <v>137.43</v>
      </c>
      <c r="F291" s="2">
        <f>IFERROR(__xludf.DUMMYFUNCTION("""COMPUTED_VALUE"""),3.0628702E7)</f>
        <v>30628702</v>
      </c>
    </row>
    <row r="292">
      <c r="A292" s="3">
        <f>IFERROR(__xludf.DUMMYFUNCTION("""COMPUTED_VALUE"""),45351.66666666667)</f>
        <v>45351.66667</v>
      </c>
      <c r="B292" s="2">
        <f>IFERROR(__xludf.DUMMYFUNCTION("""COMPUTED_VALUE"""),138.35)</f>
        <v>138.35</v>
      </c>
      <c r="C292" s="2">
        <f>IFERROR(__xludf.DUMMYFUNCTION("""COMPUTED_VALUE"""),139.95)</f>
        <v>139.95</v>
      </c>
      <c r="D292" s="2">
        <f>IFERROR(__xludf.DUMMYFUNCTION("""COMPUTED_VALUE"""),137.57)</f>
        <v>137.57</v>
      </c>
      <c r="E292" s="2">
        <f>IFERROR(__xludf.DUMMYFUNCTION("""COMPUTED_VALUE"""),139.78)</f>
        <v>139.78</v>
      </c>
      <c r="F292" s="2">
        <f>IFERROR(__xludf.DUMMYFUNCTION("""COMPUTED_VALUE"""),3.5485006E7)</f>
        <v>35485006</v>
      </c>
    </row>
    <row r="293">
      <c r="A293" s="3">
        <f>IFERROR(__xludf.DUMMYFUNCTION("""COMPUTED_VALUE"""),45352.66666666667)</f>
        <v>45352.66667</v>
      </c>
      <c r="B293" s="2">
        <f>IFERROR(__xludf.DUMMYFUNCTION("""COMPUTED_VALUE"""),139.61)</f>
        <v>139.61</v>
      </c>
      <c r="C293" s="2">
        <f>IFERROR(__xludf.DUMMYFUNCTION("""COMPUTED_VALUE"""),140.0)</f>
        <v>140</v>
      </c>
      <c r="D293" s="2">
        <f>IFERROR(__xludf.DUMMYFUNCTION("""COMPUTED_VALUE"""),137.98)</f>
        <v>137.98</v>
      </c>
      <c r="E293" s="2">
        <f>IFERROR(__xludf.DUMMYFUNCTION("""COMPUTED_VALUE"""),138.08)</f>
        <v>138.08</v>
      </c>
      <c r="F293" s="2">
        <f>IFERROR(__xludf.DUMMYFUNCTION("""COMPUTED_VALUE"""),2.8551525E7)</f>
        <v>28551525</v>
      </c>
    </row>
    <row r="294">
      <c r="A294" s="3">
        <f>IFERROR(__xludf.DUMMYFUNCTION("""COMPUTED_VALUE"""),45355.66666666667)</f>
        <v>45355.66667</v>
      </c>
      <c r="B294" s="2">
        <f>IFERROR(__xludf.DUMMYFUNCTION("""COMPUTED_VALUE"""),136.54)</f>
        <v>136.54</v>
      </c>
      <c r="C294" s="2">
        <f>IFERROR(__xludf.DUMMYFUNCTION("""COMPUTED_VALUE"""),136.63)</f>
        <v>136.63</v>
      </c>
      <c r="D294" s="2">
        <f>IFERROR(__xludf.DUMMYFUNCTION("""COMPUTED_VALUE"""),132.86)</f>
        <v>132.86</v>
      </c>
      <c r="E294" s="2">
        <f>IFERROR(__xludf.DUMMYFUNCTION("""COMPUTED_VALUE"""),134.2)</f>
        <v>134.2</v>
      </c>
      <c r="F294" s="2">
        <f>IFERROR(__xludf.DUMMYFUNCTION("""COMPUTED_VALUE"""),4.357151E7)</f>
        <v>43571510</v>
      </c>
    </row>
    <row r="295">
      <c r="A295" s="3">
        <f>IFERROR(__xludf.DUMMYFUNCTION("""COMPUTED_VALUE"""),45356.66666666667)</f>
        <v>45356.66667</v>
      </c>
      <c r="B295" s="2">
        <f>IFERROR(__xludf.DUMMYFUNCTION("""COMPUTED_VALUE"""),132.74)</f>
        <v>132.74</v>
      </c>
      <c r="C295" s="2">
        <f>IFERROR(__xludf.DUMMYFUNCTION("""COMPUTED_VALUE"""),134.02)</f>
        <v>134.02</v>
      </c>
      <c r="D295" s="2">
        <f>IFERROR(__xludf.DUMMYFUNCTION("""COMPUTED_VALUE"""),131.55)</f>
        <v>131.55</v>
      </c>
      <c r="E295" s="2">
        <f>IFERROR(__xludf.DUMMYFUNCTION("""COMPUTED_VALUE"""),133.78)</f>
        <v>133.78</v>
      </c>
      <c r="F295" s="2">
        <f>IFERROR(__xludf.DUMMYFUNCTION("""COMPUTED_VALUE"""),2.844755E7)</f>
        <v>28447550</v>
      </c>
    </row>
    <row r="296">
      <c r="A296" s="3">
        <f>IFERROR(__xludf.DUMMYFUNCTION("""COMPUTED_VALUE"""),45357.66666666667)</f>
        <v>45357.66667</v>
      </c>
      <c r="B296" s="2">
        <f>IFERROR(__xludf.DUMMYFUNCTION("""COMPUTED_VALUE"""),134.24)</f>
        <v>134.24</v>
      </c>
      <c r="C296" s="2">
        <f>IFERROR(__xludf.DUMMYFUNCTION("""COMPUTED_VALUE"""),134.74)</f>
        <v>134.74</v>
      </c>
      <c r="D296" s="2">
        <f>IFERROR(__xludf.DUMMYFUNCTION("""COMPUTED_VALUE"""),131.95)</f>
        <v>131.95</v>
      </c>
      <c r="E296" s="2">
        <f>IFERROR(__xludf.DUMMYFUNCTION("""COMPUTED_VALUE"""),132.56)</f>
        <v>132.56</v>
      </c>
      <c r="F296" s="2">
        <f>IFERROR(__xludf.DUMMYFUNCTION("""COMPUTED_VALUE"""),2.31752E7)</f>
        <v>23175200</v>
      </c>
    </row>
    <row r="297">
      <c r="A297" s="3">
        <f>IFERROR(__xludf.DUMMYFUNCTION("""COMPUTED_VALUE"""),45358.66666666667)</f>
        <v>45358.66667</v>
      </c>
      <c r="B297" s="2">
        <f>IFERROR(__xludf.DUMMYFUNCTION("""COMPUTED_VALUE"""),133.89)</f>
        <v>133.89</v>
      </c>
      <c r="C297" s="2">
        <f>IFERROR(__xludf.DUMMYFUNCTION("""COMPUTED_VALUE"""),135.82)</f>
        <v>135.82</v>
      </c>
      <c r="D297" s="2">
        <f>IFERROR(__xludf.DUMMYFUNCTION("""COMPUTED_VALUE"""),132.66)</f>
        <v>132.66</v>
      </c>
      <c r="E297" s="2">
        <f>IFERROR(__xludf.DUMMYFUNCTION("""COMPUTED_VALUE"""),135.24)</f>
        <v>135.24</v>
      </c>
      <c r="F297" s="2">
        <f>IFERROR(__xludf.DUMMYFUNCTION("""COMPUTED_VALUE"""),2.4107282E7)</f>
        <v>24107282</v>
      </c>
    </row>
    <row r="298">
      <c r="A298" s="3">
        <f>IFERROR(__xludf.DUMMYFUNCTION("""COMPUTED_VALUE"""),45359.66666666667)</f>
        <v>45359.66667</v>
      </c>
      <c r="B298" s="2">
        <f>IFERROR(__xludf.DUMMYFUNCTION("""COMPUTED_VALUE"""),135.04)</f>
        <v>135.04</v>
      </c>
      <c r="C298" s="2">
        <f>IFERROR(__xludf.DUMMYFUNCTION("""COMPUTED_VALUE"""),138.99)</f>
        <v>138.99</v>
      </c>
      <c r="D298" s="2">
        <f>IFERROR(__xludf.DUMMYFUNCTION("""COMPUTED_VALUE"""),134.8)</f>
        <v>134.8</v>
      </c>
      <c r="E298" s="2">
        <f>IFERROR(__xludf.DUMMYFUNCTION("""COMPUTED_VALUE"""),136.29)</f>
        <v>136.29</v>
      </c>
      <c r="F298" s="2">
        <f>IFERROR(__xludf.DUMMYFUNCTION("""COMPUTED_VALUE"""),2.649516E7)</f>
        <v>26495160</v>
      </c>
    </row>
    <row r="299">
      <c r="A299" s="3">
        <f>IFERROR(__xludf.DUMMYFUNCTION("""COMPUTED_VALUE"""),45362.66666666667)</f>
        <v>45362.66667</v>
      </c>
      <c r="B299" s="2">
        <f>IFERROR(__xludf.DUMMYFUNCTION("""COMPUTED_VALUE"""),137.07)</f>
        <v>137.07</v>
      </c>
      <c r="C299" s="2">
        <f>IFERROR(__xludf.DUMMYFUNCTION("""COMPUTED_VALUE"""),139.98)</f>
        <v>139.98</v>
      </c>
      <c r="D299" s="2">
        <f>IFERROR(__xludf.DUMMYFUNCTION("""COMPUTED_VALUE"""),137.07)</f>
        <v>137.07</v>
      </c>
      <c r="E299" s="2">
        <f>IFERROR(__xludf.DUMMYFUNCTION("""COMPUTED_VALUE"""),138.94)</f>
        <v>138.94</v>
      </c>
      <c r="F299" s="2">
        <f>IFERROR(__xludf.DUMMYFUNCTION("""COMPUTED_VALUE"""),2.2536365E7)</f>
        <v>22536365</v>
      </c>
    </row>
    <row r="300">
      <c r="A300" s="3">
        <f>IFERROR(__xludf.DUMMYFUNCTION("""COMPUTED_VALUE"""),45363.66666666667)</f>
        <v>45363.66667</v>
      </c>
      <c r="B300" s="2">
        <f>IFERROR(__xludf.DUMMYFUNCTION("""COMPUTED_VALUE"""),138.25)</f>
        <v>138.25</v>
      </c>
      <c r="C300" s="2">
        <f>IFERROR(__xludf.DUMMYFUNCTION("""COMPUTED_VALUE"""),140.28)</f>
        <v>140.28</v>
      </c>
      <c r="D300" s="2">
        <f>IFERROR(__xludf.DUMMYFUNCTION("""COMPUTED_VALUE"""),138.21)</f>
        <v>138.21</v>
      </c>
      <c r="E300" s="2">
        <f>IFERROR(__xludf.DUMMYFUNCTION("""COMPUTED_VALUE"""),139.62)</f>
        <v>139.62</v>
      </c>
      <c r="F300" s="2">
        <f>IFERROR(__xludf.DUMMYFUNCTION("""COMPUTED_VALUE"""),1.9019696E7)</f>
        <v>19019696</v>
      </c>
    </row>
    <row r="301">
      <c r="A301" s="3">
        <f>IFERROR(__xludf.DUMMYFUNCTION("""COMPUTED_VALUE"""),45364.66666666667)</f>
        <v>45364.66667</v>
      </c>
      <c r="B301" s="2">
        <f>IFERROR(__xludf.DUMMYFUNCTION("""COMPUTED_VALUE"""),140.06)</f>
        <v>140.06</v>
      </c>
      <c r="C301" s="2">
        <f>IFERROR(__xludf.DUMMYFUNCTION("""COMPUTED_VALUE"""),142.19)</f>
        <v>142.19</v>
      </c>
      <c r="D301" s="2">
        <f>IFERROR(__xludf.DUMMYFUNCTION("""COMPUTED_VALUE"""),140.01)</f>
        <v>140.01</v>
      </c>
      <c r="E301" s="2">
        <f>IFERROR(__xludf.DUMMYFUNCTION("""COMPUTED_VALUE"""),140.77)</f>
        <v>140.77</v>
      </c>
      <c r="F301" s="2">
        <f>IFERROR(__xludf.DUMMYFUNCTION("""COMPUTED_VALUE"""),1.9636999E7)</f>
        <v>19636999</v>
      </c>
    </row>
    <row r="302">
      <c r="A302" s="3">
        <f>IFERROR(__xludf.DUMMYFUNCTION("""COMPUTED_VALUE"""),45365.66666666667)</f>
        <v>45365.66667</v>
      </c>
      <c r="B302" s="2">
        <f>IFERROR(__xludf.DUMMYFUNCTION("""COMPUTED_VALUE"""),142.3)</f>
        <v>142.3</v>
      </c>
      <c r="C302" s="2">
        <f>IFERROR(__xludf.DUMMYFUNCTION("""COMPUTED_VALUE"""),144.73)</f>
        <v>144.73</v>
      </c>
      <c r="D302" s="2">
        <f>IFERROR(__xludf.DUMMYFUNCTION("""COMPUTED_VALUE"""),141.49)</f>
        <v>141.49</v>
      </c>
      <c r="E302" s="2">
        <f>IFERROR(__xludf.DUMMYFUNCTION("""COMPUTED_VALUE"""),144.34)</f>
        <v>144.34</v>
      </c>
      <c r="F302" s="2">
        <f>IFERROR(__xludf.DUMMYFUNCTION("""COMPUTED_VALUE"""),3.6117913E7)</f>
        <v>36117913</v>
      </c>
    </row>
    <row r="303">
      <c r="A303" s="3">
        <f>IFERROR(__xludf.DUMMYFUNCTION("""COMPUTED_VALUE"""),45366.66666666667)</f>
        <v>45366.66667</v>
      </c>
      <c r="B303" s="2">
        <f>IFERROR(__xludf.DUMMYFUNCTION("""COMPUTED_VALUE"""),143.41)</f>
        <v>143.41</v>
      </c>
      <c r="C303" s="2">
        <f>IFERROR(__xludf.DUMMYFUNCTION("""COMPUTED_VALUE"""),144.34)</f>
        <v>144.34</v>
      </c>
      <c r="D303" s="2">
        <f>IFERROR(__xludf.DUMMYFUNCTION("""COMPUTED_VALUE"""),141.13)</f>
        <v>141.13</v>
      </c>
      <c r="E303" s="2">
        <f>IFERROR(__xludf.DUMMYFUNCTION("""COMPUTED_VALUE"""),142.17)</f>
        <v>142.17</v>
      </c>
      <c r="F303" s="2">
        <f>IFERROR(__xludf.DUMMYFUNCTION("""COMPUTED_VALUE"""),4.1039494E7)</f>
        <v>41039494</v>
      </c>
    </row>
    <row r="304">
      <c r="A304" s="3">
        <f>IFERROR(__xludf.DUMMYFUNCTION("""COMPUTED_VALUE"""),45369.66666666667)</f>
        <v>45369.66667</v>
      </c>
      <c r="B304" s="2">
        <f>IFERROR(__xludf.DUMMYFUNCTION("""COMPUTED_VALUE"""),149.37)</f>
        <v>149.37</v>
      </c>
      <c r="C304" s="2">
        <f>IFERROR(__xludf.DUMMYFUNCTION("""COMPUTED_VALUE"""),152.93)</f>
        <v>152.93</v>
      </c>
      <c r="D304" s="2">
        <f>IFERROR(__xludf.DUMMYFUNCTION("""COMPUTED_VALUE"""),148.14)</f>
        <v>148.14</v>
      </c>
      <c r="E304" s="2">
        <f>IFERROR(__xludf.DUMMYFUNCTION("""COMPUTED_VALUE"""),148.48)</f>
        <v>148.48</v>
      </c>
      <c r="F304" s="2">
        <f>IFERROR(__xludf.DUMMYFUNCTION("""COMPUTED_VALUE"""),4.7676689E7)</f>
        <v>47676689</v>
      </c>
    </row>
    <row r="305">
      <c r="A305" s="3">
        <f>IFERROR(__xludf.DUMMYFUNCTION("""COMPUTED_VALUE"""),45370.66666666667)</f>
        <v>45370.66667</v>
      </c>
      <c r="B305" s="2">
        <f>IFERROR(__xludf.DUMMYFUNCTION("""COMPUTED_VALUE"""),148.98)</f>
        <v>148.98</v>
      </c>
      <c r="C305" s="2">
        <f>IFERROR(__xludf.DUMMYFUNCTION("""COMPUTED_VALUE"""),149.62)</f>
        <v>149.62</v>
      </c>
      <c r="D305" s="2">
        <f>IFERROR(__xludf.DUMMYFUNCTION("""COMPUTED_VALUE"""),147.01)</f>
        <v>147.01</v>
      </c>
      <c r="E305" s="2">
        <f>IFERROR(__xludf.DUMMYFUNCTION("""COMPUTED_VALUE"""),147.92)</f>
        <v>147.92</v>
      </c>
      <c r="F305" s="2">
        <f>IFERROR(__xludf.DUMMYFUNCTION("""COMPUTED_VALUE"""),1.7748367E7)</f>
        <v>17748367</v>
      </c>
    </row>
    <row r="306">
      <c r="A306" s="3">
        <f>IFERROR(__xludf.DUMMYFUNCTION("""COMPUTED_VALUE"""),45371.66666666667)</f>
        <v>45371.66667</v>
      </c>
      <c r="B306" s="2">
        <f>IFERROR(__xludf.DUMMYFUNCTION("""COMPUTED_VALUE"""),148.79)</f>
        <v>148.79</v>
      </c>
      <c r="C306" s="2">
        <f>IFERROR(__xludf.DUMMYFUNCTION("""COMPUTED_VALUE"""),149.76)</f>
        <v>149.76</v>
      </c>
      <c r="D306" s="2">
        <f>IFERROR(__xludf.DUMMYFUNCTION("""COMPUTED_VALUE"""),147.67)</f>
        <v>147.67</v>
      </c>
      <c r="E306" s="2">
        <f>IFERROR(__xludf.DUMMYFUNCTION("""COMPUTED_VALUE"""),149.68)</f>
        <v>149.68</v>
      </c>
      <c r="F306" s="2">
        <f>IFERROR(__xludf.DUMMYFUNCTION("""COMPUTED_VALUE"""),1.7729996E7)</f>
        <v>17729996</v>
      </c>
    </row>
    <row r="307">
      <c r="A307" s="3">
        <f>IFERROR(__xludf.DUMMYFUNCTION("""COMPUTED_VALUE"""),45372.66666666667)</f>
        <v>45372.66667</v>
      </c>
      <c r="B307" s="2">
        <f>IFERROR(__xludf.DUMMYFUNCTION("""COMPUTED_VALUE"""),150.32)</f>
        <v>150.32</v>
      </c>
      <c r="C307" s="2">
        <f>IFERROR(__xludf.DUMMYFUNCTION("""COMPUTED_VALUE"""),151.31)</f>
        <v>151.31</v>
      </c>
      <c r="D307" s="2">
        <f>IFERROR(__xludf.DUMMYFUNCTION("""COMPUTED_VALUE"""),148.01)</f>
        <v>148.01</v>
      </c>
      <c r="E307" s="2">
        <f>IFERROR(__xludf.DUMMYFUNCTION("""COMPUTED_VALUE"""),148.74)</f>
        <v>148.74</v>
      </c>
      <c r="F307" s="2">
        <f>IFERROR(__xludf.DUMMYFUNCTION("""COMPUTED_VALUE"""),1.9843915E7)</f>
        <v>19843915</v>
      </c>
    </row>
    <row r="308">
      <c r="A308" s="3">
        <f>IFERROR(__xludf.DUMMYFUNCTION("""COMPUTED_VALUE"""),45373.66666666667)</f>
        <v>45373.66667</v>
      </c>
      <c r="B308" s="2">
        <f>IFERROR(__xludf.DUMMYFUNCTION("""COMPUTED_VALUE"""),150.24)</f>
        <v>150.24</v>
      </c>
      <c r="C308" s="2">
        <f>IFERROR(__xludf.DUMMYFUNCTION("""COMPUTED_VALUE"""),152.56)</f>
        <v>152.56</v>
      </c>
      <c r="D308" s="2">
        <f>IFERROR(__xludf.DUMMYFUNCTION("""COMPUTED_VALUE"""),150.09)</f>
        <v>150.09</v>
      </c>
      <c r="E308" s="2">
        <f>IFERROR(__xludf.DUMMYFUNCTION("""COMPUTED_VALUE"""),151.77)</f>
        <v>151.77</v>
      </c>
      <c r="F308" s="2">
        <f>IFERROR(__xludf.DUMMYFUNCTION("""COMPUTED_VALUE"""),1.9252925E7)</f>
        <v>19252925</v>
      </c>
    </row>
    <row r="309">
      <c r="A309" s="3">
        <f>IFERROR(__xludf.DUMMYFUNCTION("""COMPUTED_VALUE"""),45376.66666666667)</f>
        <v>45376.66667</v>
      </c>
      <c r="B309" s="2">
        <f>IFERROR(__xludf.DUMMYFUNCTION("""COMPUTED_VALUE"""),150.95)</f>
        <v>150.95</v>
      </c>
      <c r="C309" s="2">
        <f>IFERROR(__xludf.DUMMYFUNCTION("""COMPUTED_VALUE"""),151.46)</f>
        <v>151.46</v>
      </c>
      <c r="D309" s="2">
        <f>IFERROR(__xludf.DUMMYFUNCTION("""COMPUTED_VALUE"""),148.8)</f>
        <v>148.8</v>
      </c>
      <c r="E309" s="2">
        <f>IFERROR(__xludf.DUMMYFUNCTION("""COMPUTED_VALUE"""),151.15)</f>
        <v>151.15</v>
      </c>
      <c r="F309" s="2">
        <f>IFERROR(__xludf.DUMMYFUNCTION("""COMPUTED_VALUE"""),1.5114728E7)</f>
        <v>15114728</v>
      </c>
    </row>
    <row r="310">
      <c r="A310" s="3">
        <f>IFERROR(__xludf.DUMMYFUNCTION("""COMPUTED_VALUE"""),45377.66666666667)</f>
        <v>45377.66667</v>
      </c>
      <c r="B310" s="2">
        <f>IFERROR(__xludf.DUMMYFUNCTION("""COMPUTED_VALUE"""),151.24)</f>
        <v>151.24</v>
      </c>
      <c r="C310" s="2">
        <f>IFERROR(__xludf.DUMMYFUNCTION("""COMPUTED_VALUE"""),153.2)</f>
        <v>153.2</v>
      </c>
      <c r="D310" s="2">
        <f>IFERROR(__xludf.DUMMYFUNCTION("""COMPUTED_VALUE"""),151.03)</f>
        <v>151.03</v>
      </c>
      <c r="E310" s="2">
        <f>IFERROR(__xludf.DUMMYFUNCTION("""COMPUTED_VALUE"""),151.7)</f>
        <v>151.7</v>
      </c>
      <c r="F310" s="2">
        <f>IFERROR(__xludf.DUMMYFUNCTION("""COMPUTED_VALUE"""),1.9312694E7)</f>
        <v>19312694</v>
      </c>
    </row>
    <row r="311">
      <c r="A311" s="3">
        <f>IFERROR(__xludf.DUMMYFUNCTION("""COMPUTED_VALUE"""),45378.66666666667)</f>
        <v>45378.66667</v>
      </c>
      <c r="B311" s="2">
        <f>IFERROR(__xludf.DUMMYFUNCTION("""COMPUTED_VALUE"""),152.15)</f>
        <v>152.15</v>
      </c>
      <c r="C311" s="2">
        <f>IFERROR(__xludf.DUMMYFUNCTION("""COMPUTED_VALUE"""),152.69)</f>
        <v>152.69</v>
      </c>
      <c r="D311" s="2">
        <f>IFERROR(__xludf.DUMMYFUNCTION("""COMPUTED_VALUE"""),150.13)</f>
        <v>150.13</v>
      </c>
      <c r="E311" s="2">
        <f>IFERROR(__xludf.DUMMYFUNCTION("""COMPUTED_VALUE"""),151.94)</f>
        <v>151.94</v>
      </c>
      <c r="F311" s="2">
        <f>IFERROR(__xludf.DUMMYFUNCTION("""COMPUTED_VALUE"""),1.6621964E7)</f>
        <v>16621964</v>
      </c>
    </row>
    <row r="312">
      <c r="A312" s="3">
        <f>IFERROR(__xludf.DUMMYFUNCTION("""COMPUTED_VALUE"""),45379.66666666667)</f>
        <v>45379.66667</v>
      </c>
      <c r="B312" s="2">
        <f>IFERROR(__xludf.DUMMYFUNCTION("""COMPUTED_VALUE"""),152.0)</f>
        <v>152</v>
      </c>
      <c r="C312" s="2">
        <f>IFERROR(__xludf.DUMMYFUNCTION("""COMPUTED_VALUE"""),152.67)</f>
        <v>152.67</v>
      </c>
      <c r="D312" s="2">
        <f>IFERROR(__xludf.DUMMYFUNCTION("""COMPUTED_VALUE"""),151.33)</f>
        <v>151.33</v>
      </c>
      <c r="E312" s="2">
        <f>IFERROR(__xludf.DUMMYFUNCTION("""COMPUTED_VALUE"""),152.26)</f>
        <v>152.26</v>
      </c>
      <c r="F312" s="2">
        <f>IFERROR(__xludf.DUMMYFUNCTION("""COMPUTED_VALUE"""),2.1105628E7)</f>
        <v>21105628</v>
      </c>
    </row>
    <row r="313">
      <c r="A313" s="3">
        <f>IFERROR(__xludf.DUMMYFUNCTION("""COMPUTED_VALUE"""),45383.66666666667)</f>
        <v>45383.66667</v>
      </c>
      <c r="B313" s="2">
        <f>IFERROR(__xludf.DUMMYFUNCTION("""COMPUTED_VALUE"""),151.83)</f>
        <v>151.83</v>
      </c>
      <c r="C313" s="2">
        <f>IFERROR(__xludf.DUMMYFUNCTION("""COMPUTED_VALUE"""),157.0)</f>
        <v>157</v>
      </c>
      <c r="D313" s="2">
        <f>IFERROR(__xludf.DUMMYFUNCTION("""COMPUTED_VALUE"""),151.65)</f>
        <v>151.65</v>
      </c>
      <c r="E313" s="2">
        <f>IFERROR(__xludf.DUMMYFUNCTION("""COMPUTED_VALUE"""),156.5)</f>
        <v>156.5</v>
      </c>
      <c r="F313" s="2">
        <f>IFERROR(__xludf.DUMMYFUNCTION("""COMPUTED_VALUE"""),2.4469815E7)</f>
        <v>24469815</v>
      </c>
    </row>
    <row r="314">
      <c r="A314" s="3">
        <f>IFERROR(__xludf.DUMMYFUNCTION("""COMPUTED_VALUE"""),45384.66666666667)</f>
        <v>45384.66667</v>
      </c>
      <c r="B314" s="2">
        <f>IFERROR(__xludf.DUMMYFUNCTION("""COMPUTED_VALUE"""),154.75)</f>
        <v>154.75</v>
      </c>
      <c r="C314" s="2">
        <f>IFERROR(__xludf.DUMMYFUNCTION("""COMPUTED_VALUE"""),155.99)</f>
        <v>155.99</v>
      </c>
      <c r="D314" s="2">
        <f>IFERROR(__xludf.DUMMYFUNCTION("""COMPUTED_VALUE"""),153.46)</f>
        <v>153.46</v>
      </c>
      <c r="E314" s="2">
        <f>IFERROR(__xludf.DUMMYFUNCTION("""COMPUTED_VALUE"""),155.87)</f>
        <v>155.87</v>
      </c>
      <c r="F314" s="2">
        <f>IFERROR(__xludf.DUMMYFUNCTION("""COMPUTED_VALUE"""),1.7598064E7)</f>
        <v>17598064</v>
      </c>
    </row>
    <row r="315">
      <c r="A315" s="3">
        <f>IFERROR(__xludf.DUMMYFUNCTION("""COMPUTED_VALUE"""),45385.66666666667)</f>
        <v>45385.66667</v>
      </c>
      <c r="B315" s="2">
        <f>IFERROR(__xludf.DUMMYFUNCTION("""COMPUTED_VALUE"""),154.92)</f>
        <v>154.92</v>
      </c>
      <c r="C315" s="2">
        <f>IFERROR(__xludf.DUMMYFUNCTION("""COMPUTED_VALUE"""),156.55)</f>
        <v>156.55</v>
      </c>
      <c r="D315" s="2">
        <f>IFERROR(__xludf.DUMMYFUNCTION("""COMPUTED_VALUE"""),154.13)</f>
        <v>154.13</v>
      </c>
      <c r="E315" s="2">
        <f>IFERROR(__xludf.DUMMYFUNCTION("""COMPUTED_VALUE"""),156.37)</f>
        <v>156.37</v>
      </c>
      <c r="F315" s="2">
        <f>IFERROR(__xludf.DUMMYFUNCTION("""COMPUTED_VALUE"""),1.7266175E7)</f>
        <v>17266175</v>
      </c>
    </row>
    <row r="316">
      <c r="A316" s="3">
        <f>IFERROR(__xludf.DUMMYFUNCTION("""COMPUTED_VALUE"""),45386.66666666667)</f>
        <v>45386.66667</v>
      </c>
      <c r="B316" s="2">
        <f>IFERROR(__xludf.DUMMYFUNCTION("""COMPUTED_VALUE"""),155.08)</f>
        <v>155.08</v>
      </c>
      <c r="C316" s="2">
        <f>IFERROR(__xludf.DUMMYFUNCTION("""COMPUTED_VALUE"""),156.18)</f>
        <v>156.18</v>
      </c>
      <c r="D316" s="2">
        <f>IFERROR(__xludf.DUMMYFUNCTION("""COMPUTED_VALUE"""),151.88)</f>
        <v>151.88</v>
      </c>
      <c r="E316" s="2">
        <f>IFERROR(__xludf.DUMMYFUNCTION("""COMPUTED_VALUE"""),151.94)</f>
        <v>151.94</v>
      </c>
      <c r="F316" s="2">
        <f>IFERROR(__xludf.DUMMYFUNCTION("""COMPUTED_VALUE"""),2.4184842E7)</f>
        <v>24184842</v>
      </c>
    </row>
    <row r="317">
      <c r="A317" s="3">
        <f>IFERROR(__xludf.DUMMYFUNCTION("""COMPUTED_VALUE"""),45387.66666666667)</f>
        <v>45387.66667</v>
      </c>
      <c r="B317" s="2">
        <f>IFERROR(__xludf.DUMMYFUNCTION("""COMPUTED_VALUE"""),151.68)</f>
        <v>151.68</v>
      </c>
      <c r="C317" s="2">
        <f>IFERROR(__xludf.DUMMYFUNCTION("""COMPUTED_VALUE"""),154.84)</f>
        <v>154.84</v>
      </c>
      <c r="D317" s="2">
        <f>IFERROR(__xludf.DUMMYFUNCTION("""COMPUTED_VALUE"""),151.08)</f>
        <v>151.08</v>
      </c>
      <c r="E317" s="2">
        <f>IFERROR(__xludf.DUMMYFUNCTION("""COMPUTED_VALUE"""),153.94)</f>
        <v>153.94</v>
      </c>
      <c r="F317" s="2">
        <f>IFERROR(__xludf.DUMMYFUNCTION("""COMPUTED_VALUE"""),1.6297319E7)</f>
        <v>16297319</v>
      </c>
    </row>
    <row r="318">
      <c r="A318" s="3">
        <f>IFERROR(__xludf.DUMMYFUNCTION("""COMPUTED_VALUE"""),45390.66666666667)</f>
        <v>45390.66667</v>
      </c>
      <c r="B318" s="2">
        <f>IFERROR(__xludf.DUMMYFUNCTION("""COMPUTED_VALUE"""),154.01)</f>
        <v>154.01</v>
      </c>
      <c r="C318" s="2">
        <f>IFERROR(__xludf.DUMMYFUNCTION("""COMPUTED_VALUE"""),156.66)</f>
        <v>156.66</v>
      </c>
      <c r="D318" s="2">
        <f>IFERROR(__xludf.DUMMYFUNCTION("""COMPUTED_VALUE"""),153.99)</f>
        <v>153.99</v>
      </c>
      <c r="E318" s="2">
        <f>IFERROR(__xludf.DUMMYFUNCTION("""COMPUTED_VALUE"""),156.14)</f>
        <v>156.14</v>
      </c>
      <c r="F318" s="2">
        <f>IFERROR(__xludf.DUMMYFUNCTION("""COMPUTED_VALUE"""),1.664153E7)</f>
        <v>16641530</v>
      </c>
    </row>
    <row r="319">
      <c r="A319" s="3">
        <f>IFERROR(__xludf.DUMMYFUNCTION("""COMPUTED_VALUE"""),45391.66666666667)</f>
        <v>45391.66667</v>
      </c>
      <c r="B319" s="2">
        <f>IFERROR(__xludf.DUMMYFUNCTION("""COMPUTED_VALUE"""),157.35)</f>
        <v>157.35</v>
      </c>
      <c r="C319" s="2">
        <f>IFERROR(__xludf.DUMMYFUNCTION("""COMPUTED_VALUE"""),159.89)</f>
        <v>159.89</v>
      </c>
      <c r="D319" s="2">
        <f>IFERROR(__xludf.DUMMYFUNCTION("""COMPUTED_VALUE"""),156.64)</f>
        <v>156.64</v>
      </c>
      <c r="E319" s="2">
        <f>IFERROR(__xludf.DUMMYFUNCTION("""COMPUTED_VALUE"""),158.14)</f>
        <v>158.14</v>
      </c>
      <c r="F319" s="2">
        <f>IFERROR(__xludf.DUMMYFUNCTION("""COMPUTED_VALUE"""),2.153814E7)</f>
        <v>21538140</v>
      </c>
    </row>
    <row r="320">
      <c r="A320" s="3">
        <f>IFERROR(__xludf.DUMMYFUNCTION("""COMPUTED_VALUE"""),45392.66666666667)</f>
        <v>45392.66667</v>
      </c>
      <c r="B320" s="2">
        <f>IFERROR(__xludf.DUMMYFUNCTION("""COMPUTED_VALUE"""),157.88)</f>
        <v>157.88</v>
      </c>
      <c r="C320" s="2">
        <f>IFERROR(__xludf.DUMMYFUNCTION("""COMPUTED_VALUE"""),158.16)</f>
        <v>158.16</v>
      </c>
      <c r="D320" s="2">
        <f>IFERROR(__xludf.DUMMYFUNCTION("""COMPUTED_VALUE"""),156.2)</f>
        <v>156.2</v>
      </c>
      <c r="E320" s="2">
        <f>IFERROR(__xludf.DUMMYFUNCTION("""COMPUTED_VALUE"""),157.66)</f>
        <v>157.66</v>
      </c>
      <c r="F320" s="2">
        <f>IFERROR(__xludf.DUMMYFUNCTION("""COMPUTED_VALUE"""),1.6339174E7)</f>
        <v>16339174</v>
      </c>
    </row>
    <row r="321">
      <c r="A321" s="3">
        <f>IFERROR(__xludf.DUMMYFUNCTION("""COMPUTED_VALUE"""),45393.66666666667)</f>
        <v>45393.66667</v>
      </c>
      <c r="B321" s="2">
        <f>IFERROR(__xludf.DUMMYFUNCTION("""COMPUTED_VALUE"""),158.34)</f>
        <v>158.34</v>
      </c>
      <c r="C321" s="2">
        <f>IFERROR(__xludf.DUMMYFUNCTION("""COMPUTED_VALUE"""),161.12)</f>
        <v>161.12</v>
      </c>
      <c r="D321" s="2">
        <f>IFERROR(__xludf.DUMMYFUNCTION("""COMPUTED_VALUE"""),157.93)</f>
        <v>157.93</v>
      </c>
      <c r="E321" s="2">
        <f>IFERROR(__xludf.DUMMYFUNCTION("""COMPUTED_VALUE"""),160.79)</f>
        <v>160.79</v>
      </c>
      <c r="F321" s="2">
        <f>IFERROR(__xludf.DUMMYFUNCTION("""COMPUTED_VALUE"""),1.7841703E7)</f>
        <v>17841703</v>
      </c>
    </row>
    <row r="322">
      <c r="A322" s="3">
        <f>IFERROR(__xludf.DUMMYFUNCTION("""COMPUTED_VALUE"""),45394.66666666667)</f>
        <v>45394.66667</v>
      </c>
      <c r="B322" s="2">
        <f>IFERROR(__xludf.DUMMYFUNCTION("""COMPUTED_VALUE"""),159.41)</f>
        <v>159.41</v>
      </c>
      <c r="C322" s="2">
        <f>IFERROR(__xludf.DUMMYFUNCTION("""COMPUTED_VALUE"""),161.7)</f>
        <v>161.7</v>
      </c>
      <c r="D322" s="2">
        <f>IFERROR(__xludf.DUMMYFUNCTION("""COMPUTED_VALUE"""),158.6)</f>
        <v>158.6</v>
      </c>
      <c r="E322" s="2">
        <f>IFERROR(__xludf.DUMMYFUNCTION("""COMPUTED_VALUE"""),159.19)</f>
        <v>159.19</v>
      </c>
      <c r="F322" s="2">
        <f>IFERROR(__xludf.DUMMYFUNCTION("""COMPUTED_VALUE"""),1.6989765E7)</f>
        <v>16989765</v>
      </c>
    </row>
    <row r="323">
      <c r="A323" s="3">
        <f>IFERROR(__xludf.DUMMYFUNCTION("""COMPUTED_VALUE"""),45397.66666666667)</f>
        <v>45397.66667</v>
      </c>
      <c r="B323" s="2">
        <f>IFERROR(__xludf.DUMMYFUNCTION("""COMPUTED_VALUE"""),160.28)</f>
        <v>160.28</v>
      </c>
      <c r="C323" s="2">
        <f>IFERROR(__xludf.DUMMYFUNCTION("""COMPUTED_VALUE"""),160.83)</f>
        <v>160.83</v>
      </c>
      <c r="D323" s="2">
        <f>IFERROR(__xludf.DUMMYFUNCTION("""COMPUTED_VALUE"""),156.15)</f>
        <v>156.15</v>
      </c>
      <c r="E323" s="2">
        <f>IFERROR(__xludf.DUMMYFUNCTION("""COMPUTED_VALUE"""),156.33)</f>
        <v>156.33</v>
      </c>
      <c r="F323" s="2">
        <f>IFERROR(__xludf.DUMMYFUNCTION("""COMPUTED_VALUE"""),2.1140948E7)</f>
        <v>21140948</v>
      </c>
    </row>
    <row r="324">
      <c r="A324" s="3">
        <f>IFERROR(__xludf.DUMMYFUNCTION("""COMPUTED_VALUE"""),45398.66666666667)</f>
        <v>45398.66667</v>
      </c>
      <c r="B324" s="2">
        <f>IFERROR(__xludf.DUMMYFUNCTION("""COMPUTED_VALUE"""),155.64)</f>
        <v>155.64</v>
      </c>
      <c r="C324" s="2">
        <f>IFERROR(__xludf.DUMMYFUNCTION("""COMPUTED_VALUE"""),157.23)</f>
        <v>157.23</v>
      </c>
      <c r="D324" s="2">
        <f>IFERROR(__xludf.DUMMYFUNCTION("""COMPUTED_VALUE"""),155.05)</f>
        <v>155.05</v>
      </c>
      <c r="E324" s="2">
        <f>IFERROR(__xludf.DUMMYFUNCTION("""COMPUTED_VALUE"""),156.0)</f>
        <v>156</v>
      </c>
      <c r="F324" s="2">
        <f>IFERROR(__xludf.DUMMYFUNCTION("""COMPUTED_VALUE"""),1.5413201E7)</f>
        <v>15413201</v>
      </c>
    </row>
    <row r="325">
      <c r="A325" s="3">
        <f>IFERROR(__xludf.DUMMYFUNCTION("""COMPUTED_VALUE"""),45399.66666666667)</f>
        <v>45399.66667</v>
      </c>
      <c r="B325" s="2">
        <f>IFERROR(__xludf.DUMMYFUNCTION("""COMPUTED_VALUE"""),157.19)</f>
        <v>157.19</v>
      </c>
      <c r="C325" s="2">
        <f>IFERROR(__xludf.DUMMYFUNCTION("""COMPUTED_VALUE"""),158.68)</f>
        <v>158.68</v>
      </c>
      <c r="D325" s="2">
        <f>IFERROR(__xludf.DUMMYFUNCTION("""COMPUTED_VALUE"""),156.14)</f>
        <v>156.14</v>
      </c>
      <c r="E325" s="2">
        <f>IFERROR(__xludf.DUMMYFUNCTION("""COMPUTED_VALUE"""),156.88)</f>
        <v>156.88</v>
      </c>
      <c r="F325" s="2">
        <f>IFERROR(__xludf.DUMMYFUNCTION("""COMPUTED_VALUE"""),1.6237752E7)</f>
        <v>16237752</v>
      </c>
    </row>
    <row r="326">
      <c r="A326" s="3">
        <f>IFERROR(__xludf.DUMMYFUNCTION("""COMPUTED_VALUE"""),45400.66666666667)</f>
        <v>45400.66667</v>
      </c>
      <c r="B326" s="2">
        <f>IFERROR(__xludf.DUMMYFUNCTION("""COMPUTED_VALUE"""),156.93)</f>
        <v>156.93</v>
      </c>
      <c r="C326" s="2">
        <f>IFERROR(__xludf.DUMMYFUNCTION("""COMPUTED_VALUE"""),158.49)</f>
        <v>158.49</v>
      </c>
      <c r="D326" s="2">
        <f>IFERROR(__xludf.DUMMYFUNCTION("""COMPUTED_VALUE"""),156.21)</f>
        <v>156.21</v>
      </c>
      <c r="E326" s="2">
        <f>IFERROR(__xludf.DUMMYFUNCTION("""COMPUTED_VALUE"""),157.46)</f>
        <v>157.46</v>
      </c>
      <c r="F326" s="2">
        <f>IFERROR(__xludf.DUMMYFUNCTION("""COMPUTED_VALUE"""),1.4016065E7)</f>
        <v>14016065</v>
      </c>
    </row>
    <row r="327">
      <c r="A327" s="3">
        <f>IFERROR(__xludf.DUMMYFUNCTION("""COMPUTED_VALUE"""),45401.66666666667)</f>
        <v>45401.66667</v>
      </c>
      <c r="B327" s="2">
        <f>IFERROR(__xludf.DUMMYFUNCTION("""COMPUTED_VALUE"""),157.75)</f>
        <v>157.75</v>
      </c>
      <c r="C327" s="2">
        <f>IFERROR(__xludf.DUMMYFUNCTION("""COMPUTED_VALUE"""),157.99)</f>
        <v>157.99</v>
      </c>
      <c r="D327" s="2">
        <f>IFERROR(__xludf.DUMMYFUNCTION("""COMPUTED_VALUE"""),153.91)</f>
        <v>153.91</v>
      </c>
      <c r="E327" s="2">
        <f>IFERROR(__xludf.DUMMYFUNCTION("""COMPUTED_VALUE"""),155.72)</f>
        <v>155.72</v>
      </c>
      <c r="F327" s="2">
        <f>IFERROR(__xludf.DUMMYFUNCTION("""COMPUTED_VALUE"""),2.1479881E7)</f>
        <v>21479881</v>
      </c>
    </row>
    <row r="328">
      <c r="A328" s="3">
        <f>IFERROR(__xludf.DUMMYFUNCTION("""COMPUTED_VALUE"""),45404.66666666667)</f>
        <v>45404.66667</v>
      </c>
      <c r="B328" s="2">
        <f>IFERROR(__xludf.DUMMYFUNCTION("""COMPUTED_VALUE"""),156.01)</f>
        <v>156.01</v>
      </c>
      <c r="C328" s="2">
        <f>IFERROR(__xludf.DUMMYFUNCTION("""COMPUTED_VALUE"""),159.19)</f>
        <v>159.19</v>
      </c>
      <c r="D328" s="2">
        <f>IFERROR(__xludf.DUMMYFUNCTION("""COMPUTED_VALUE"""),155.66)</f>
        <v>155.66</v>
      </c>
      <c r="E328" s="2">
        <f>IFERROR(__xludf.DUMMYFUNCTION("""COMPUTED_VALUE"""),157.95)</f>
        <v>157.95</v>
      </c>
      <c r="F328" s="2">
        <f>IFERROR(__xludf.DUMMYFUNCTION("""COMPUTED_VALUE"""),1.724387E7)</f>
        <v>17243870</v>
      </c>
    </row>
    <row r="329">
      <c r="A329" s="3">
        <f>IFERROR(__xludf.DUMMYFUNCTION("""COMPUTED_VALUE"""),45405.66666666667)</f>
        <v>45405.66667</v>
      </c>
      <c r="B329" s="2">
        <f>IFERROR(__xludf.DUMMYFUNCTION("""COMPUTED_VALUE"""),158.59)</f>
        <v>158.59</v>
      </c>
      <c r="C329" s="2">
        <f>IFERROR(__xludf.DUMMYFUNCTION("""COMPUTED_VALUE"""),160.48)</f>
        <v>160.48</v>
      </c>
      <c r="D329" s="2">
        <f>IFERROR(__xludf.DUMMYFUNCTION("""COMPUTED_VALUE"""),157.97)</f>
        <v>157.97</v>
      </c>
      <c r="E329" s="2">
        <f>IFERROR(__xludf.DUMMYFUNCTION("""COMPUTED_VALUE"""),159.92)</f>
        <v>159.92</v>
      </c>
      <c r="F329" s="2">
        <f>IFERROR(__xludf.DUMMYFUNCTION("""COMPUTED_VALUE"""),1.6115408E7)</f>
        <v>16115408</v>
      </c>
    </row>
    <row r="330">
      <c r="A330" s="3">
        <f>IFERROR(__xludf.DUMMYFUNCTION("""COMPUTED_VALUE"""),45406.66666666667)</f>
        <v>45406.66667</v>
      </c>
      <c r="B330" s="2">
        <f>IFERROR(__xludf.DUMMYFUNCTION("""COMPUTED_VALUE"""),159.09)</f>
        <v>159.09</v>
      </c>
      <c r="C330" s="2">
        <f>IFERROR(__xludf.DUMMYFUNCTION("""COMPUTED_VALUE"""),161.39)</f>
        <v>161.39</v>
      </c>
      <c r="D330" s="2">
        <f>IFERROR(__xludf.DUMMYFUNCTION("""COMPUTED_VALUE"""),158.82)</f>
        <v>158.82</v>
      </c>
      <c r="E330" s="2">
        <f>IFERROR(__xludf.DUMMYFUNCTION("""COMPUTED_VALUE"""),161.1)</f>
        <v>161.1</v>
      </c>
      <c r="F330" s="2">
        <f>IFERROR(__xludf.DUMMYFUNCTION("""COMPUTED_VALUE"""),1.9485694E7)</f>
        <v>19485694</v>
      </c>
    </row>
    <row r="331">
      <c r="A331" s="3">
        <f>IFERROR(__xludf.DUMMYFUNCTION("""COMPUTED_VALUE"""),45407.66666666667)</f>
        <v>45407.66667</v>
      </c>
      <c r="B331" s="2">
        <f>IFERROR(__xludf.DUMMYFUNCTION("""COMPUTED_VALUE"""),153.36)</f>
        <v>153.36</v>
      </c>
      <c r="C331" s="2">
        <f>IFERROR(__xludf.DUMMYFUNCTION("""COMPUTED_VALUE"""),158.28)</f>
        <v>158.28</v>
      </c>
      <c r="D331" s="2">
        <f>IFERROR(__xludf.DUMMYFUNCTION("""COMPUTED_VALUE"""),152.77)</f>
        <v>152.77</v>
      </c>
      <c r="E331" s="2">
        <f>IFERROR(__xludf.DUMMYFUNCTION("""COMPUTED_VALUE"""),157.95)</f>
        <v>157.95</v>
      </c>
      <c r="F331" s="2">
        <f>IFERROR(__xludf.DUMMYFUNCTION("""COMPUTED_VALUE"""),3.6197789E7)</f>
        <v>36197789</v>
      </c>
    </row>
    <row r="332">
      <c r="A332" s="3">
        <f>IFERROR(__xludf.DUMMYFUNCTION("""COMPUTED_VALUE"""),45408.66666666667)</f>
        <v>45408.66667</v>
      </c>
      <c r="B332" s="2">
        <f>IFERROR(__xludf.DUMMYFUNCTION("""COMPUTED_VALUE"""),175.99)</f>
        <v>175.99</v>
      </c>
      <c r="C332" s="2">
        <f>IFERROR(__xludf.DUMMYFUNCTION("""COMPUTED_VALUE"""),176.42)</f>
        <v>176.42</v>
      </c>
      <c r="D332" s="2">
        <f>IFERROR(__xludf.DUMMYFUNCTION("""COMPUTED_VALUE"""),171.4)</f>
        <v>171.4</v>
      </c>
      <c r="E332" s="2">
        <f>IFERROR(__xludf.DUMMYFUNCTION("""COMPUTED_VALUE"""),173.69)</f>
        <v>173.69</v>
      </c>
      <c r="F332" s="2">
        <f>IFERROR(__xludf.DUMMYFUNCTION("""COMPUTED_VALUE"""),5.6500787E7)</f>
        <v>56500787</v>
      </c>
    </row>
    <row r="333">
      <c r="A333" s="3">
        <f>IFERROR(__xludf.DUMMYFUNCTION("""COMPUTED_VALUE"""),45411.66666666667)</f>
        <v>45411.66667</v>
      </c>
      <c r="B333" s="2">
        <f>IFERROR(__xludf.DUMMYFUNCTION("""COMPUTED_VALUE"""),170.77)</f>
        <v>170.77</v>
      </c>
      <c r="C333" s="2">
        <f>IFERROR(__xludf.DUMMYFUNCTION("""COMPUTED_VALUE"""),171.38)</f>
        <v>171.38</v>
      </c>
      <c r="D333" s="2">
        <f>IFERROR(__xludf.DUMMYFUNCTION("""COMPUTED_VALUE"""),167.06)</f>
        <v>167.06</v>
      </c>
      <c r="E333" s="2">
        <f>IFERROR(__xludf.DUMMYFUNCTION("""COMPUTED_VALUE"""),167.9)</f>
        <v>167.9</v>
      </c>
      <c r="F333" s="2">
        <f>IFERROR(__xludf.DUMMYFUNCTION("""COMPUTED_VALUE"""),3.5914561E7)</f>
        <v>35914561</v>
      </c>
    </row>
    <row r="334">
      <c r="A334" s="3">
        <f>IFERROR(__xludf.DUMMYFUNCTION("""COMPUTED_VALUE"""),45412.66666666667)</f>
        <v>45412.66667</v>
      </c>
      <c r="B334" s="2">
        <f>IFERROR(__xludf.DUMMYFUNCTION("""COMPUTED_VALUE"""),167.38)</f>
        <v>167.38</v>
      </c>
      <c r="C334" s="2">
        <f>IFERROR(__xludf.DUMMYFUNCTION("""COMPUTED_VALUE"""),169.87)</f>
        <v>169.87</v>
      </c>
      <c r="D334" s="2">
        <f>IFERROR(__xludf.DUMMYFUNCTION("""COMPUTED_VALUE"""),164.5)</f>
        <v>164.5</v>
      </c>
      <c r="E334" s="2">
        <f>IFERROR(__xludf.DUMMYFUNCTION("""COMPUTED_VALUE"""),164.64)</f>
        <v>164.64</v>
      </c>
      <c r="F334" s="2">
        <f>IFERROR(__xludf.DUMMYFUNCTION("""COMPUTED_VALUE"""),2.9420755E7)</f>
        <v>29420755</v>
      </c>
    </row>
    <row r="335">
      <c r="A335" s="3">
        <f>IFERROR(__xludf.DUMMYFUNCTION("""COMPUTED_VALUE"""),45413.66666666667)</f>
        <v>45413.66667</v>
      </c>
      <c r="B335" s="2">
        <f>IFERROR(__xludf.DUMMYFUNCTION("""COMPUTED_VALUE"""),166.18)</f>
        <v>166.18</v>
      </c>
      <c r="C335" s="2">
        <f>IFERROR(__xludf.DUMMYFUNCTION("""COMPUTED_VALUE"""),168.81)</f>
        <v>168.81</v>
      </c>
      <c r="D335" s="2">
        <f>IFERROR(__xludf.DUMMYFUNCTION("""COMPUTED_VALUE"""),164.9)</f>
        <v>164.9</v>
      </c>
      <c r="E335" s="2">
        <f>IFERROR(__xludf.DUMMYFUNCTION("""COMPUTED_VALUE"""),165.57)</f>
        <v>165.57</v>
      </c>
      <c r="F335" s="2">
        <f>IFERROR(__xludf.DUMMYFUNCTION("""COMPUTED_VALUE"""),2.5223245E7)</f>
        <v>25223245</v>
      </c>
    </row>
    <row r="336">
      <c r="A336" s="3">
        <f>IFERROR(__xludf.DUMMYFUNCTION("""COMPUTED_VALUE"""),45414.66666666667)</f>
        <v>45414.66667</v>
      </c>
      <c r="B336" s="2">
        <f>IFERROR(__xludf.DUMMYFUNCTION("""COMPUTED_VALUE"""),166.67)</f>
        <v>166.67</v>
      </c>
      <c r="C336" s="2">
        <f>IFERROR(__xludf.DUMMYFUNCTION("""COMPUTED_VALUE"""),168.53)</f>
        <v>168.53</v>
      </c>
      <c r="D336" s="2">
        <f>IFERROR(__xludf.DUMMYFUNCTION("""COMPUTED_VALUE"""),165.69)</f>
        <v>165.69</v>
      </c>
      <c r="E336" s="2">
        <f>IFERROR(__xludf.DUMMYFUNCTION("""COMPUTED_VALUE"""),168.46)</f>
        <v>168.46</v>
      </c>
      <c r="F336" s="2">
        <f>IFERROR(__xludf.DUMMYFUNCTION("""COMPUTED_VALUE"""),1.7041119E7)</f>
        <v>17041119</v>
      </c>
    </row>
    <row r="337">
      <c r="A337" s="3">
        <f>IFERROR(__xludf.DUMMYFUNCTION("""COMPUTED_VALUE"""),45415.66666666667)</f>
        <v>45415.66667</v>
      </c>
      <c r="B337" s="2">
        <f>IFERROR(__xludf.DUMMYFUNCTION("""COMPUTED_VALUE"""),169.54)</f>
        <v>169.54</v>
      </c>
      <c r="C337" s="2">
        <f>IFERROR(__xludf.DUMMYFUNCTION("""COMPUTED_VALUE"""),169.85)</f>
        <v>169.85</v>
      </c>
      <c r="D337" s="2">
        <f>IFERROR(__xludf.DUMMYFUNCTION("""COMPUTED_VALUE"""),164.98)</f>
        <v>164.98</v>
      </c>
      <c r="E337" s="2">
        <f>IFERROR(__xludf.DUMMYFUNCTION("""COMPUTED_VALUE"""),168.99)</f>
        <v>168.99</v>
      </c>
      <c r="F337" s="2">
        <f>IFERROR(__xludf.DUMMYFUNCTION("""COMPUTED_VALUE"""),2.2767056E7)</f>
        <v>22767056</v>
      </c>
    </row>
    <row r="338">
      <c r="A338" s="3">
        <f>IFERROR(__xludf.DUMMYFUNCTION("""COMPUTED_VALUE"""),45418.66666666667)</f>
        <v>45418.66667</v>
      </c>
      <c r="B338" s="2">
        <f>IFERROR(__xludf.DUMMYFUNCTION("""COMPUTED_VALUE"""),169.22)</f>
        <v>169.22</v>
      </c>
      <c r="C338" s="2">
        <f>IFERROR(__xludf.DUMMYFUNCTION("""COMPUTED_VALUE"""),169.9)</f>
        <v>169.9</v>
      </c>
      <c r="D338" s="2">
        <f>IFERROR(__xludf.DUMMYFUNCTION("""COMPUTED_VALUE"""),167.89)</f>
        <v>167.89</v>
      </c>
      <c r="E338" s="2">
        <f>IFERROR(__xludf.DUMMYFUNCTION("""COMPUTED_VALUE"""),169.83)</f>
        <v>169.83</v>
      </c>
      <c r="F338" s="2">
        <f>IFERROR(__xludf.DUMMYFUNCTION("""COMPUTED_VALUE"""),1.5147906E7)</f>
        <v>15147906</v>
      </c>
    </row>
    <row r="339">
      <c r="A339" s="3">
        <f>IFERROR(__xludf.DUMMYFUNCTION("""COMPUTED_VALUE"""),45419.66666666667)</f>
        <v>45419.66667</v>
      </c>
      <c r="B339" s="2">
        <f>IFERROR(__xludf.DUMMYFUNCTION("""COMPUTED_VALUE"""),170.12)</f>
        <v>170.12</v>
      </c>
      <c r="C339" s="2">
        <f>IFERROR(__xludf.DUMMYFUNCTION("""COMPUTED_VALUE"""),173.47)</f>
        <v>173.47</v>
      </c>
      <c r="D339" s="2">
        <f>IFERROR(__xludf.DUMMYFUNCTION("""COMPUTED_VALUE"""),170.0)</f>
        <v>170</v>
      </c>
      <c r="E339" s="2">
        <f>IFERROR(__xludf.DUMMYFUNCTION("""COMPUTED_VALUE"""),172.98)</f>
        <v>172.98</v>
      </c>
      <c r="F339" s="2">
        <f>IFERROR(__xludf.DUMMYFUNCTION("""COMPUTED_VALUE"""),2.1102434E7)</f>
        <v>21102434</v>
      </c>
    </row>
    <row r="340">
      <c r="A340" s="3">
        <f>IFERROR(__xludf.DUMMYFUNCTION("""COMPUTED_VALUE"""),45420.66666666667)</f>
        <v>45420.66667</v>
      </c>
      <c r="B340" s="2">
        <f>IFERROR(__xludf.DUMMYFUNCTION("""COMPUTED_VALUE"""),170.75)</f>
        <v>170.75</v>
      </c>
      <c r="C340" s="2">
        <f>IFERROR(__xludf.DUMMYFUNCTION("""COMPUTED_VALUE"""),171.91)</f>
        <v>171.91</v>
      </c>
      <c r="D340" s="2">
        <f>IFERROR(__xludf.DUMMYFUNCTION("""COMPUTED_VALUE"""),170.52)</f>
        <v>170.52</v>
      </c>
      <c r="E340" s="2">
        <f>IFERROR(__xludf.DUMMYFUNCTION("""COMPUTED_VALUE"""),171.16)</f>
        <v>171.16</v>
      </c>
      <c r="F340" s="2">
        <f>IFERROR(__xludf.DUMMYFUNCTION("""COMPUTED_VALUE"""),1.4569858E7)</f>
        <v>14569858</v>
      </c>
    </row>
    <row r="341">
      <c r="A341" s="3">
        <f>IFERROR(__xludf.DUMMYFUNCTION("""COMPUTED_VALUE"""),45421.66666666667)</f>
        <v>45421.66667</v>
      </c>
      <c r="B341" s="2">
        <f>IFERROR(__xludf.DUMMYFUNCTION("""COMPUTED_VALUE"""),171.15)</f>
        <v>171.15</v>
      </c>
      <c r="C341" s="2">
        <f>IFERROR(__xludf.DUMMYFUNCTION("""COMPUTED_VALUE"""),172.44)</f>
        <v>172.44</v>
      </c>
      <c r="D341" s="2">
        <f>IFERROR(__xludf.DUMMYFUNCTION("""COMPUTED_VALUE"""),169.93)</f>
        <v>169.93</v>
      </c>
      <c r="E341" s="2">
        <f>IFERROR(__xludf.DUMMYFUNCTION("""COMPUTED_VALUE"""),171.58)</f>
        <v>171.58</v>
      </c>
      <c r="F341" s="2">
        <f>IFERROR(__xludf.DUMMYFUNCTION("""COMPUTED_VALUE"""),1.1937704E7)</f>
        <v>11937704</v>
      </c>
    </row>
    <row r="342">
      <c r="A342" s="3">
        <f>IFERROR(__xludf.DUMMYFUNCTION("""COMPUTED_VALUE"""),45422.66666666667)</f>
        <v>45422.66667</v>
      </c>
      <c r="B342" s="2">
        <f>IFERROR(__xludf.DUMMYFUNCTION("""COMPUTED_VALUE"""),169.69)</f>
        <v>169.69</v>
      </c>
      <c r="C342" s="2">
        <f>IFERROR(__xludf.DUMMYFUNCTION("""COMPUTED_VALUE"""),171.34)</f>
        <v>171.34</v>
      </c>
      <c r="D342" s="2">
        <f>IFERROR(__xludf.DUMMYFUNCTION("""COMPUTED_VALUE"""),167.91)</f>
        <v>167.91</v>
      </c>
      <c r="E342" s="2">
        <f>IFERROR(__xludf.DUMMYFUNCTION("""COMPUTED_VALUE"""),170.29)</f>
        <v>170.29</v>
      </c>
      <c r="F342" s="2">
        <f>IFERROR(__xludf.DUMMYFUNCTION("""COMPUTED_VALUE"""),1.8740458E7)</f>
        <v>18740458</v>
      </c>
    </row>
    <row r="343">
      <c r="A343" s="3">
        <f>IFERROR(__xludf.DUMMYFUNCTION("""COMPUTED_VALUE"""),45425.66666666667)</f>
        <v>45425.66667</v>
      </c>
      <c r="B343" s="2">
        <f>IFERROR(__xludf.DUMMYFUNCTION("""COMPUTED_VALUE"""),165.85)</f>
        <v>165.85</v>
      </c>
      <c r="C343" s="2">
        <f>IFERROR(__xludf.DUMMYFUNCTION("""COMPUTED_VALUE"""),170.95)</f>
        <v>170.95</v>
      </c>
      <c r="D343" s="2">
        <f>IFERROR(__xludf.DUMMYFUNCTION("""COMPUTED_VALUE"""),165.76)</f>
        <v>165.76</v>
      </c>
      <c r="E343" s="2">
        <f>IFERROR(__xludf.DUMMYFUNCTION("""COMPUTED_VALUE"""),170.9)</f>
        <v>170.9</v>
      </c>
      <c r="F343" s="2">
        <f>IFERROR(__xludf.DUMMYFUNCTION("""COMPUTED_VALUE"""),1.9648585E7)</f>
        <v>19648585</v>
      </c>
    </row>
    <row r="344">
      <c r="A344" s="3">
        <f>IFERROR(__xludf.DUMMYFUNCTION("""COMPUTED_VALUE"""),45426.66666666667)</f>
        <v>45426.66667</v>
      </c>
      <c r="B344" s="2">
        <f>IFERROR(__xludf.DUMMYFUNCTION("""COMPUTED_VALUE"""),171.59)</f>
        <v>171.59</v>
      </c>
      <c r="C344" s="2">
        <f>IFERROR(__xludf.DUMMYFUNCTION("""COMPUTED_VALUE"""),172.78)</f>
        <v>172.78</v>
      </c>
      <c r="D344" s="2">
        <f>IFERROR(__xludf.DUMMYFUNCTION("""COMPUTED_VALUE"""),170.42)</f>
        <v>170.42</v>
      </c>
      <c r="E344" s="2">
        <f>IFERROR(__xludf.DUMMYFUNCTION("""COMPUTED_VALUE"""),171.93)</f>
        <v>171.93</v>
      </c>
      <c r="F344" s="2">
        <f>IFERROR(__xludf.DUMMYFUNCTION("""COMPUTED_VALUE"""),1.8729463E7)</f>
        <v>18729463</v>
      </c>
    </row>
    <row r="345">
      <c r="A345" s="3">
        <f>IFERROR(__xludf.DUMMYFUNCTION("""COMPUTED_VALUE"""),45427.66666666667)</f>
        <v>45427.66667</v>
      </c>
      <c r="B345" s="2">
        <f>IFERROR(__xludf.DUMMYFUNCTION("""COMPUTED_VALUE"""),172.3)</f>
        <v>172.3</v>
      </c>
      <c r="C345" s="2">
        <f>IFERROR(__xludf.DUMMYFUNCTION("""COMPUTED_VALUE"""),174.05)</f>
        <v>174.05</v>
      </c>
      <c r="D345" s="2">
        <f>IFERROR(__xludf.DUMMYFUNCTION("""COMPUTED_VALUE"""),172.03)</f>
        <v>172.03</v>
      </c>
      <c r="E345" s="2">
        <f>IFERROR(__xludf.DUMMYFUNCTION("""COMPUTED_VALUE"""),173.88)</f>
        <v>173.88</v>
      </c>
      <c r="F345" s="2">
        <f>IFERROR(__xludf.DUMMYFUNCTION("""COMPUTED_VALUE"""),2.0958245E7)</f>
        <v>20958245</v>
      </c>
    </row>
    <row r="346">
      <c r="A346" s="3">
        <f>IFERROR(__xludf.DUMMYFUNCTION("""COMPUTED_VALUE"""),45428.66666666667)</f>
        <v>45428.66667</v>
      </c>
      <c r="B346" s="2">
        <f>IFERROR(__xludf.DUMMYFUNCTION("""COMPUTED_VALUE"""),174.6)</f>
        <v>174.6</v>
      </c>
      <c r="C346" s="2">
        <f>IFERROR(__xludf.DUMMYFUNCTION("""COMPUTED_VALUE"""),176.34)</f>
        <v>176.34</v>
      </c>
      <c r="D346" s="2">
        <f>IFERROR(__xludf.DUMMYFUNCTION("""COMPUTED_VALUE"""),174.05)</f>
        <v>174.05</v>
      </c>
      <c r="E346" s="2">
        <f>IFERROR(__xludf.DUMMYFUNCTION("""COMPUTED_VALUE"""),175.43)</f>
        <v>175.43</v>
      </c>
      <c r="F346" s="2">
        <f>IFERROR(__xludf.DUMMYFUNCTION("""COMPUTED_VALUE"""),1.7247311E7)</f>
        <v>17247311</v>
      </c>
    </row>
    <row r="347">
      <c r="A347" s="3">
        <f>IFERROR(__xludf.DUMMYFUNCTION("""COMPUTED_VALUE"""),45429.66666666667)</f>
        <v>45429.66667</v>
      </c>
      <c r="B347" s="2">
        <f>IFERROR(__xludf.DUMMYFUNCTION("""COMPUTED_VALUE"""),175.55)</f>
        <v>175.55</v>
      </c>
      <c r="C347" s="2">
        <f>IFERROR(__xludf.DUMMYFUNCTION("""COMPUTED_VALUE"""),177.5)</f>
        <v>177.5</v>
      </c>
      <c r="D347" s="2">
        <f>IFERROR(__xludf.DUMMYFUNCTION("""COMPUTED_VALUE"""),174.98)</f>
        <v>174.98</v>
      </c>
      <c r="E347" s="2">
        <f>IFERROR(__xludf.DUMMYFUNCTION("""COMPUTED_VALUE"""),177.29)</f>
        <v>177.29</v>
      </c>
      <c r="F347" s="2">
        <f>IFERROR(__xludf.DUMMYFUNCTION("""COMPUTED_VALUE"""),1.6546353E7)</f>
        <v>16546353</v>
      </c>
    </row>
    <row r="348">
      <c r="A348" s="3">
        <f>IFERROR(__xludf.DUMMYFUNCTION("""COMPUTED_VALUE"""),45432.66666666667)</f>
        <v>45432.66667</v>
      </c>
      <c r="B348" s="2">
        <f>IFERROR(__xludf.DUMMYFUNCTION("""COMPUTED_VALUE"""),177.31)</f>
        <v>177.31</v>
      </c>
      <c r="C348" s="2">
        <f>IFERROR(__xludf.DUMMYFUNCTION("""COMPUTED_VALUE"""),179.95)</f>
        <v>179.95</v>
      </c>
      <c r="D348" s="2">
        <f>IFERROR(__xludf.DUMMYFUNCTION("""COMPUTED_VALUE"""),177.23)</f>
        <v>177.23</v>
      </c>
      <c r="E348" s="2">
        <f>IFERROR(__xludf.DUMMYFUNCTION("""COMPUTED_VALUE"""),178.46)</f>
        <v>178.46</v>
      </c>
      <c r="F348" s="2">
        <f>IFERROR(__xludf.DUMMYFUNCTION("""COMPUTED_VALUE"""),1.7495122E7)</f>
        <v>17495122</v>
      </c>
    </row>
    <row r="349">
      <c r="A349" s="3">
        <f>IFERROR(__xludf.DUMMYFUNCTION("""COMPUTED_VALUE"""),45433.66666666667)</f>
        <v>45433.66667</v>
      </c>
      <c r="B349" s="2">
        <f>IFERROR(__xludf.DUMMYFUNCTION("""COMPUTED_VALUE"""),178.4)</f>
        <v>178.4</v>
      </c>
      <c r="C349" s="2">
        <f>IFERROR(__xludf.DUMMYFUNCTION("""COMPUTED_VALUE"""),179.82)</f>
        <v>179.82</v>
      </c>
      <c r="D349" s="2">
        <f>IFERROR(__xludf.DUMMYFUNCTION("""COMPUTED_VALUE"""),177.31)</f>
        <v>177.31</v>
      </c>
      <c r="E349" s="2">
        <f>IFERROR(__xludf.DUMMYFUNCTION("""COMPUTED_VALUE"""),179.54)</f>
        <v>179.54</v>
      </c>
      <c r="F349" s="2">
        <f>IFERROR(__xludf.DUMMYFUNCTION("""COMPUTED_VALUE"""),1.4706021E7)</f>
        <v>14706021</v>
      </c>
    </row>
    <row r="350">
      <c r="A350" s="3">
        <f>IFERROR(__xludf.DUMMYFUNCTION("""COMPUTED_VALUE"""),45434.66666666667)</f>
        <v>45434.66667</v>
      </c>
      <c r="B350" s="2">
        <f>IFERROR(__xludf.DUMMYFUNCTION("""COMPUTED_VALUE"""),178.4)</f>
        <v>178.4</v>
      </c>
      <c r="C350" s="2">
        <f>IFERROR(__xludf.DUMMYFUNCTION("""COMPUTED_VALUE"""),178.85)</f>
        <v>178.85</v>
      </c>
      <c r="D350" s="2">
        <f>IFERROR(__xludf.DUMMYFUNCTION("""COMPUTED_VALUE"""),176.78)</f>
        <v>176.78</v>
      </c>
      <c r="E350" s="2">
        <f>IFERROR(__xludf.DUMMYFUNCTION("""COMPUTED_VALUE"""),178.0)</f>
        <v>178</v>
      </c>
      <c r="F350" s="2">
        <f>IFERROR(__xludf.DUMMYFUNCTION("""COMPUTED_VALUE"""),1.6189404E7)</f>
        <v>16189404</v>
      </c>
    </row>
    <row r="351">
      <c r="A351" s="3">
        <f>IFERROR(__xludf.DUMMYFUNCTION("""COMPUTED_VALUE"""),45435.66666666667)</f>
        <v>45435.66667</v>
      </c>
      <c r="B351" s="2">
        <f>IFERROR(__xludf.DUMMYFUNCTION("""COMPUTED_VALUE"""),178.78)</f>
        <v>178.78</v>
      </c>
      <c r="C351" s="2">
        <f>IFERROR(__xludf.DUMMYFUNCTION("""COMPUTED_VALUE"""),179.91)</f>
        <v>179.91</v>
      </c>
      <c r="D351" s="2">
        <f>IFERROR(__xludf.DUMMYFUNCTION("""COMPUTED_VALUE"""),174.54)</f>
        <v>174.54</v>
      </c>
      <c r="E351" s="2">
        <f>IFERROR(__xludf.DUMMYFUNCTION("""COMPUTED_VALUE"""),175.06)</f>
        <v>175.06</v>
      </c>
      <c r="F351" s="2">
        <f>IFERROR(__xludf.DUMMYFUNCTION("""COMPUTED_VALUE"""),1.4928363E7)</f>
        <v>14928363</v>
      </c>
    </row>
    <row r="352">
      <c r="A352" s="3">
        <f>IFERROR(__xludf.DUMMYFUNCTION("""COMPUTED_VALUE"""),45436.66666666667)</f>
        <v>45436.66667</v>
      </c>
      <c r="B352" s="2">
        <f>IFERROR(__xludf.DUMMYFUNCTION("""COMPUTED_VALUE"""),176.52)</f>
        <v>176.52</v>
      </c>
      <c r="C352" s="2">
        <f>IFERROR(__xludf.DUMMYFUNCTION("""COMPUTED_VALUE"""),177.3)</f>
        <v>177.3</v>
      </c>
      <c r="D352" s="2">
        <f>IFERROR(__xludf.DUMMYFUNCTION("""COMPUTED_VALUE"""),175.2)</f>
        <v>175.2</v>
      </c>
      <c r="E352" s="2">
        <f>IFERROR(__xludf.DUMMYFUNCTION("""COMPUTED_VALUE"""),176.33)</f>
        <v>176.33</v>
      </c>
      <c r="F352" s="2">
        <f>IFERROR(__xludf.DUMMYFUNCTION("""COMPUTED_VALUE"""),1.140356E7)</f>
        <v>11403560</v>
      </c>
    </row>
    <row r="353">
      <c r="A353" s="3">
        <f>IFERROR(__xludf.DUMMYFUNCTION("""COMPUTED_VALUE"""),45440.66666666667)</f>
        <v>45440.66667</v>
      </c>
      <c r="B353" s="2">
        <f>IFERROR(__xludf.DUMMYFUNCTION("""COMPUTED_VALUE"""),175.74)</f>
        <v>175.74</v>
      </c>
      <c r="C353" s="2">
        <f>IFERROR(__xludf.DUMMYFUNCTION("""COMPUTED_VALUE"""),178.51)</f>
        <v>178.51</v>
      </c>
      <c r="D353" s="2">
        <f>IFERROR(__xludf.DUMMYFUNCTION("""COMPUTED_VALUE"""),175.68)</f>
        <v>175.68</v>
      </c>
      <c r="E353" s="2">
        <f>IFERROR(__xludf.DUMMYFUNCTION("""COMPUTED_VALUE"""),178.02)</f>
        <v>178.02</v>
      </c>
      <c r="F353" s="2">
        <f>IFERROR(__xludf.DUMMYFUNCTION("""COMPUTED_VALUE"""),1.565534E7)</f>
        <v>15655340</v>
      </c>
    </row>
    <row r="354">
      <c r="A354" s="3">
        <f>IFERROR(__xludf.DUMMYFUNCTION("""COMPUTED_VALUE"""),45441.66666666667)</f>
        <v>45441.66667</v>
      </c>
      <c r="B354" s="2">
        <f>IFERROR(__xludf.DUMMYFUNCTION("""COMPUTED_VALUE"""),176.81)</f>
        <v>176.81</v>
      </c>
      <c r="C354" s="2">
        <f>IFERROR(__xludf.DUMMYFUNCTION("""COMPUTED_VALUE"""),178.23)</f>
        <v>178.23</v>
      </c>
      <c r="D354" s="2">
        <f>IFERROR(__xludf.DUMMYFUNCTION("""COMPUTED_VALUE"""),176.26)</f>
        <v>176.26</v>
      </c>
      <c r="E354" s="2">
        <f>IFERROR(__xludf.DUMMYFUNCTION("""COMPUTED_VALUE"""),177.4)</f>
        <v>177.4</v>
      </c>
      <c r="F354" s="2">
        <f>IFERROR(__xludf.DUMMYFUNCTION("""COMPUTED_VALUE"""),1.5023847E7)</f>
        <v>15023847</v>
      </c>
    </row>
    <row r="355">
      <c r="A355" s="3">
        <f>IFERROR(__xludf.DUMMYFUNCTION("""COMPUTED_VALUE"""),45442.66666666667)</f>
        <v>45442.66667</v>
      </c>
      <c r="B355" s="2">
        <f>IFERROR(__xludf.DUMMYFUNCTION("""COMPUTED_VALUE"""),176.69)</f>
        <v>176.69</v>
      </c>
      <c r="C355" s="2">
        <f>IFERROR(__xludf.DUMMYFUNCTION("""COMPUTED_VALUE"""),176.69)</f>
        <v>176.69</v>
      </c>
      <c r="D355" s="2">
        <f>IFERROR(__xludf.DUMMYFUNCTION("""COMPUTED_VALUE"""),173.23)</f>
        <v>173.23</v>
      </c>
      <c r="E355" s="2">
        <f>IFERROR(__xludf.DUMMYFUNCTION("""COMPUTED_VALUE"""),173.56)</f>
        <v>173.56</v>
      </c>
      <c r="F355" s="2">
        <f>IFERROR(__xludf.DUMMYFUNCTION("""COMPUTED_VALUE"""),1.8844036E7)</f>
        <v>18844036</v>
      </c>
    </row>
    <row r="356">
      <c r="A356" s="3">
        <f>IFERROR(__xludf.DUMMYFUNCTION("""COMPUTED_VALUE"""),45443.66666666667)</f>
        <v>45443.66667</v>
      </c>
      <c r="B356" s="2">
        <f>IFERROR(__xludf.DUMMYFUNCTION("""COMPUTED_VALUE"""),173.4)</f>
        <v>173.4</v>
      </c>
      <c r="C356" s="2">
        <f>IFERROR(__xludf.DUMMYFUNCTION("""COMPUTED_VALUE"""),174.42)</f>
        <v>174.42</v>
      </c>
      <c r="D356" s="2">
        <f>IFERROR(__xludf.DUMMYFUNCTION("""COMPUTED_VALUE"""),170.97)</f>
        <v>170.97</v>
      </c>
      <c r="E356" s="2">
        <f>IFERROR(__xludf.DUMMYFUNCTION("""COMPUTED_VALUE"""),173.96)</f>
        <v>173.96</v>
      </c>
      <c r="F356" s="2">
        <f>IFERROR(__xludf.DUMMYFUNCTION("""COMPUTED_VALUE"""),2.8085151E7)</f>
        <v>28085151</v>
      </c>
    </row>
    <row r="357">
      <c r="A357" s="3">
        <f>IFERROR(__xludf.DUMMYFUNCTION("""COMPUTED_VALUE"""),45446.66666666667)</f>
        <v>45446.66667</v>
      </c>
      <c r="B357" s="2">
        <f>IFERROR(__xludf.DUMMYFUNCTION("""COMPUTED_VALUE"""),173.88)</f>
        <v>173.88</v>
      </c>
      <c r="C357" s="2">
        <f>IFERROR(__xludf.DUMMYFUNCTION("""COMPUTED_VALUE"""),175.86)</f>
        <v>175.86</v>
      </c>
      <c r="D357" s="2">
        <f>IFERROR(__xludf.DUMMYFUNCTION("""COMPUTED_VALUE"""),172.45)</f>
        <v>172.45</v>
      </c>
      <c r="E357" s="2">
        <f>IFERROR(__xludf.DUMMYFUNCTION("""COMPUTED_VALUE"""),174.42)</f>
        <v>174.42</v>
      </c>
      <c r="F357" s="2">
        <f>IFERROR(__xludf.DUMMYFUNCTION("""COMPUTED_VALUE"""),2.0742798E7)</f>
        <v>20742798</v>
      </c>
    </row>
    <row r="358">
      <c r="A358" s="3">
        <f>IFERROR(__xludf.DUMMYFUNCTION("""COMPUTED_VALUE"""),45447.66666666667)</f>
        <v>45447.66667</v>
      </c>
      <c r="B358" s="2">
        <f>IFERROR(__xludf.DUMMYFUNCTION("""COMPUTED_VALUE"""),174.45)</f>
        <v>174.45</v>
      </c>
      <c r="C358" s="2">
        <f>IFERROR(__xludf.DUMMYFUNCTION("""COMPUTED_VALUE"""),175.19)</f>
        <v>175.19</v>
      </c>
      <c r="D358" s="2">
        <f>IFERROR(__xludf.DUMMYFUNCTION("""COMPUTED_VALUE"""),173.22)</f>
        <v>173.22</v>
      </c>
      <c r="E358" s="2">
        <f>IFERROR(__xludf.DUMMYFUNCTION("""COMPUTED_VALUE"""),175.13)</f>
        <v>175.13</v>
      </c>
      <c r="F358" s="2">
        <f>IFERROR(__xludf.DUMMYFUNCTION("""COMPUTED_VALUE"""),1.4066602E7)</f>
        <v>14066602</v>
      </c>
    </row>
    <row r="359">
      <c r="A359" s="3">
        <f>IFERROR(__xludf.DUMMYFUNCTION("""COMPUTED_VALUE"""),45448.66666666667)</f>
        <v>45448.66667</v>
      </c>
      <c r="B359" s="2">
        <f>IFERROR(__xludf.DUMMYFUNCTION("""COMPUTED_VALUE"""),176.54)</f>
        <v>176.54</v>
      </c>
      <c r="C359" s="2">
        <f>IFERROR(__xludf.DUMMYFUNCTION("""COMPUTED_VALUE"""),177.97)</f>
        <v>177.97</v>
      </c>
      <c r="D359" s="2">
        <f>IFERROR(__xludf.DUMMYFUNCTION("""COMPUTED_VALUE"""),175.29)</f>
        <v>175.29</v>
      </c>
      <c r="E359" s="2">
        <f>IFERROR(__xludf.DUMMYFUNCTION("""COMPUTED_VALUE"""),177.07)</f>
        <v>177.07</v>
      </c>
      <c r="F359" s="2">
        <f>IFERROR(__xludf.DUMMYFUNCTION("""COMPUTED_VALUE"""),1.5233861E7)</f>
        <v>15233861</v>
      </c>
    </row>
    <row r="360">
      <c r="A360" s="3">
        <f>IFERROR(__xludf.DUMMYFUNCTION("""COMPUTED_VALUE"""),45449.66666666667)</f>
        <v>45449.66667</v>
      </c>
      <c r="B360" s="2">
        <f>IFERROR(__xludf.DUMMYFUNCTION("""COMPUTED_VALUE"""),177.43)</f>
        <v>177.43</v>
      </c>
      <c r="C360" s="2">
        <f>IFERROR(__xludf.DUMMYFUNCTION("""COMPUTED_VALUE"""),178.71)</f>
        <v>178.71</v>
      </c>
      <c r="D360" s="2">
        <f>IFERROR(__xludf.DUMMYFUNCTION("""COMPUTED_VALUE"""),177.21)</f>
        <v>177.21</v>
      </c>
      <c r="E360" s="2">
        <f>IFERROR(__xludf.DUMMYFUNCTION("""COMPUTED_VALUE"""),178.35)</f>
        <v>178.35</v>
      </c>
      <c r="F360" s="2">
        <f>IFERROR(__xludf.DUMMYFUNCTION("""COMPUTED_VALUE"""),1.4255818E7)</f>
        <v>14255818</v>
      </c>
    </row>
    <row r="361">
      <c r="A361" s="3">
        <f>IFERROR(__xludf.DUMMYFUNCTION("""COMPUTED_VALUE"""),45450.66666666667)</f>
        <v>45450.66667</v>
      </c>
      <c r="B361" s="2">
        <f>IFERROR(__xludf.DUMMYFUNCTION("""COMPUTED_VALUE"""),178.46)</f>
        <v>178.46</v>
      </c>
      <c r="C361" s="2">
        <f>IFERROR(__xludf.DUMMYFUNCTION("""COMPUTED_VALUE"""),179.42)</f>
        <v>179.42</v>
      </c>
      <c r="D361" s="2">
        <f>IFERROR(__xludf.DUMMYFUNCTION("""COMPUTED_VALUE"""),175.79)</f>
        <v>175.79</v>
      </c>
      <c r="E361" s="2">
        <f>IFERROR(__xludf.DUMMYFUNCTION("""COMPUTED_VALUE"""),175.95)</f>
        <v>175.95</v>
      </c>
      <c r="F361" s="2">
        <f>IFERROR(__xludf.DUMMYFUNCTION("""COMPUTED_VALUE"""),1.471627E7)</f>
        <v>14716270</v>
      </c>
    </row>
    <row r="362">
      <c r="A362" s="3">
        <f>IFERROR(__xludf.DUMMYFUNCTION("""COMPUTED_VALUE"""),45453.66666666667)</f>
        <v>45453.66667</v>
      </c>
      <c r="B362" s="2">
        <f>IFERROR(__xludf.DUMMYFUNCTION("""COMPUTED_VALUE"""),176.45)</f>
        <v>176.45</v>
      </c>
      <c r="C362" s="2">
        <f>IFERROR(__xludf.DUMMYFUNCTION("""COMPUTED_VALUE"""),178.47)</f>
        <v>178.47</v>
      </c>
      <c r="D362" s="2">
        <f>IFERROR(__xludf.DUMMYFUNCTION("""COMPUTED_VALUE"""),174.38)</f>
        <v>174.38</v>
      </c>
      <c r="E362" s="2">
        <f>IFERROR(__xludf.DUMMYFUNCTION("""COMPUTED_VALUE"""),176.63)</f>
        <v>176.63</v>
      </c>
      <c r="F362" s="2">
        <f>IFERROR(__xludf.DUMMYFUNCTION("""COMPUTED_VALUE"""),1.7122247E7)</f>
        <v>17122247</v>
      </c>
    </row>
    <row r="363">
      <c r="A363" s="3">
        <f>IFERROR(__xludf.DUMMYFUNCTION("""COMPUTED_VALUE"""),45454.66666666667)</f>
        <v>45454.66667</v>
      </c>
      <c r="B363" s="2">
        <f>IFERROR(__xludf.DUMMYFUNCTION("""COMPUTED_VALUE"""),177.72)</f>
        <v>177.72</v>
      </c>
      <c r="C363" s="2">
        <f>IFERROR(__xludf.DUMMYFUNCTION("""COMPUTED_VALUE"""),178.39)</f>
        <v>178.39</v>
      </c>
      <c r="D363" s="2">
        <f>IFERROR(__xludf.DUMMYFUNCTION("""COMPUTED_VALUE"""),175.44)</f>
        <v>175.44</v>
      </c>
      <c r="E363" s="2">
        <f>IFERROR(__xludf.DUMMYFUNCTION("""COMPUTED_VALUE"""),178.19)</f>
        <v>178.19</v>
      </c>
      <c r="F363" s="2">
        <f>IFERROR(__xludf.DUMMYFUNCTION("""COMPUTED_VALUE"""),1.4402401E7)</f>
        <v>14402401</v>
      </c>
    </row>
    <row r="364">
      <c r="A364" s="3">
        <f>IFERROR(__xludf.DUMMYFUNCTION("""COMPUTED_VALUE"""),45455.66666666667)</f>
        <v>45455.66667</v>
      </c>
      <c r="B364" s="2">
        <f>IFERROR(__xludf.DUMMYFUNCTION("""COMPUTED_VALUE"""),179.75)</f>
        <v>179.75</v>
      </c>
      <c r="C364" s="2">
        <f>IFERROR(__xludf.DUMMYFUNCTION("""COMPUTED_VALUE"""),182.08)</f>
        <v>182.08</v>
      </c>
      <c r="D364" s="2">
        <f>IFERROR(__xludf.DUMMYFUNCTION("""COMPUTED_VALUE"""),177.78)</f>
        <v>177.78</v>
      </c>
      <c r="E364" s="2">
        <f>IFERROR(__xludf.DUMMYFUNCTION("""COMPUTED_VALUE"""),179.56)</f>
        <v>179.56</v>
      </c>
      <c r="F364" s="2">
        <f>IFERROR(__xludf.DUMMYFUNCTION("""COMPUTED_VALUE"""),1.8600421E7)</f>
        <v>18600421</v>
      </c>
    </row>
    <row r="365">
      <c r="A365" s="3">
        <f>IFERROR(__xludf.DUMMYFUNCTION("""COMPUTED_VALUE"""),45456.66666666667)</f>
        <v>45456.66667</v>
      </c>
      <c r="B365" s="2">
        <f>IFERROR(__xludf.DUMMYFUNCTION("""COMPUTED_VALUE"""),177.84)</f>
        <v>177.84</v>
      </c>
      <c r="C365" s="2">
        <f>IFERROR(__xludf.DUMMYFUNCTION("""COMPUTED_VALUE"""),178.51)</f>
        <v>178.51</v>
      </c>
      <c r="D365" s="2">
        <f>IFERROR(__xludf.DUMMYFUNCTION("""COMPUTED_VALUE"""),176.66)</f>
        <v>176.66</v>
      </c>
      <c r="E365" s="2">
        <f>IFERROR(__xludf.DUMMYFUNCTION("""COMPUTED_VALUE"""),176.74)</f>
        <v>176.74</v>
      </c>
      <c r="F365" s="2">
        <f>IFERROR(__xludf.DUMMYFUNCTION("""COMPUTED_VALUE"""),1.5956941E7)</f>
        <v>15956941</v>
      </c>
    </row>
    <row r="366">
      <c r="A366" s="3">
        <f>IFERROR(__xludf.DUMMYFUNCTION("""COMPUTED_VALUE"""),45457.66666666667)</f>
        <v>45457.66667</v>
      </c>
      <c r="B366" s="2">
        <f>IFERROR(__xludf.DUMMYFUNCTION("""COMPUTED_VALUE"""),175.85)</f>
        <v>175.85</v>
      </c>
      <c r="C366" s="2">
        <f>IFERROR(__xludf.DUMMYFUNCTION("""COMPUTED_VALUE"""),178.73)</f>
        <v>178.73</v>
      </c>
      <c r="D366" s="2">
        <f>IFERROR(__xludf.DUMMYFUNCTION("""COMPUTED_VALUE"""),175.85)</f>
        <v>175.85</v>
      </c>
      <c r="E366" s="2">
        <f>IFERROR(__xludf.DUMMYFUNCTION("""COMPUTED_VALUE"""),178.37)</f>
        <v>178.37</v>
      </c>
      <c r="F366" s="2">
        <f>IFERROR(__xludf.DUMMYFUNCTION("""COMPUTED_VALUE"""),1.2361571E7)</f>
        <v>12361571</v>
      </c>
    </row>
    <row r="367">
      <c r="A367" s="3">
        <f>IFERROR(__xludf.DUMMYFUNCTION("""COMPUTED_VALUE"""),45460.66666666667)</f>
        <v>45460.66667</v>
      </c>
      <c r="B367" s="2">
        <f>IFERROR(__xludf.DUMMYFUNCTION("""COMPUTED_VALUE"""),176.98)</f>
        <v>176.98</v>
      </c>
      <c r="C367" s="2">
        <f>IFERROR(__xludf.DUMMYFUNCTION("""COMPUTED_VALUE"""),179.92)</f>
        <v>179.92</v>
      </c>
      <c r="D367" s="2">
        <f>IFERROR(__xludf.DUMMYFUNCTION("""COMPUTED_VALUE"""),176.49)</f>
        <v>176.49</v>
      </c>
      <c r="E367" s="2">
        <f>IFERROR(__xludf.DUMMYFUNCTION("""COMPUTED_VALUE"""),178.78)</f>
        <v>178.78</v>
      </c>
      <c r="F367" s="2">
        <f>IFERROR(__xludf.DUMMYFUNCTION("""COMPUTED_VALUE"""),1.5272864E7)</f>
        <v>15272864</v>
      </c>
    </row>
    <row r="368">
      <c r="A368" s="3">
        <f>IFERROR(__xludf.DUMMYFUNCTION("""COMPUTED_VALUE"""),45461.66666666667)</f>
        <v>45461.66667</v>
      </c>
      <c r="B368" s="2">
        <f>IFERROR(__xludf.DUMMYFUNCTION("""COMPUTED_VALUE"""),178.79)</f>
        <v>178.79</v>
      </c>
      <c r="C368" s="2">
        <f>IFERROR(__xludf.DUMMYFUNCTION("""COMPUTED_VALUE"""),178.91)</f>
        <v>178.91</v>
      </c>
      <c r="D368" s="2">
        <f>IFERROR(__xludf.DUMMYFUNCTION("""COMPUTED_VALUE"""),175.62)</f>
        <v>175.62</v>
      </c>
      <c r="E368" s="2">
        <f>IFERROR(__xludf.DUMMYFUNCTION("""COMPUTED_VALUE"""),176.45)</f>
        <v>176.45</v>
      </c>
      <c r="F368" s="2">
        <f>IFERROR(__xludf.DUMMYFUNCTION("""COMPUTED_VALUE"""),1.5640257E7)</f>
        <v>15640257</v>
      </c>
    </row>
    <row r="369">
      <c r="A369" s="3">
        <f>IFERROR(__xludf.DUMMYFUNCTION("""COMPUTED_VALUE"""),45463.66666666667)</f>
        <v>45463.66667</v>
      </c>
      <c r="B369" s="2">
        <f>IFERROR(__xludf.DUMMYFUNCTION("""COMPUTED_VALUE"""),176.71)</f>
        <v>176.71</v>
      </c>
      <c r="C369" s="2">
        <f>IFERROR(__xludf.DUMMYFUNCTION("""COMPUTED_VALUE"""),178.74)</f>
        <v>178.74</v>
      </c>
      <c r="D369" s="2">
        <f>IFERROR(__xludf.DUMMYFUNCTION("""COMPUTED_VALUE"""),176.46)</f>
        <v>176.46</v>
      </c>
      <c r="E369" s="2">
        <f>IFERROR(__xludf.DUMMYFUNCTION("""COMPUTED_VALUE"""),177.71)</f>
        <v>177.71</v>
      </c>
      <c r="F369" s="2">
        <f>IFERROR(__xludf.DUMMYFUNCTION("""COMPUTED_VALUE"""),1.6753166E7)</f>
        <v>16753166</v>
      </c>
    </row>
    <row r="370">
      <c r="A370" s="3">
        <f>IFERROR(__xludf.DUMMYFUNCTION("""COMPUTED_VALUE"""),45464.66666666667)</f>
        <v>45464.66667</v>
      </c>
      <c r="B370" s="2">
        <f>IFERROR(__xludf.DUMMYFUNCTION("""COMPUTED_VALUE"""),178.49)</f>
        <v>178.49</v>
      </c>
      <c r="C370" s="2">
        <f>IFERROR(__xludf.DUMMYFUNCTION("""COMPUTED_VALUE"""),182.51)</f>
        <v>182.51</v>
      </c>
      <c r="D370" s="2">
        <f>IFERROR(__xludf.DUMMYFUNCTION("""COMPUTED_VALUE"""),178.06)</f>
        <v>178.06</v>
      </c>
      <c r="E370" s="2">
        <f>IFERROR(__xludf.DUMMYFUNCTION("""COMPUTED_VALUE"""),180.26)</f>
        <v>180.26</v>
      </c>
      <c r="F370" s="2">
        <f>IFERROR(__xludf.DUMMYFUNCTION("""COMPUTED_VALUE"""),5.9728019E7)</f>
        <v>59728019</v>
      </c>
    </row>
    <row r="371">
      <c r="A371" s="3">
        <f>IFERROR(__xludf.DUMMYFUNCTION("""COMPUTED_VALUE"""),45467.66666666667)</f>
        <v>45467.66667</v>
      </c>
      <c r="B371" s="2">
        <f>IFERROR(__xludf.DUMMYFUNCTION("""COMPUTED_VALUE"""),181.28)</f>
        <v>181.28</v>
      </c>
      <c r="C371" s="2">
        <f>IFERROR(__xludf.DUMMYFUNCTION("""COMPUTED_VALUE"""),182.08)</f>
        <v>182.08</v>
      </c>
      <c r="D371" s="2">
        <f>IFERROR(__xludf.DUMMYFUNCTION("""COMPUTED_VALUE"""),180.23)</f>
        <v>180.23</v>
      </c>
      <c r="E371" s="2">
        <f>IFERROR(__xludf.DUMMYFUNCTION("""COMPUTED_VALUE"""),180.79)</f>
        <v>180.79</v>
      </c>
      <c r="F371" s="2">
        <f>IFERROR(__xludf.DUMMYFUNCTION("""COMPUTED_VALUE"""),1.8198282E7)</f>
        <v>18198282</v>
      </c>
    </row>
    <row r="372">
      <c r="A372" s="3">
        <f>IFERROR(__xludf.DUMMYFUNCTION("""COMPUTED_VALUE"""),45468.66666666667)</f>
        <v>45468.66667</v>
      </c>
      <c r="B372" s="2">
        <f>IFERROR(__xludf.DUMMYFUNCTION("""COMPUTED_VALUE"""),181.15)</f>
        <v>181.15</v>
      </c>
      <c r="C372" s="2">
        <f>IFERROR(__xludf.DUMMYFUNCTION("""COMPUTED_VALUE"""),185.75)</f>
        <v>185.75</v>
      </c>
      <c r="D372" s="2">
        <f>IFERROR(__xludf.DUMMYFUNCTION("""COMPUTED_VALUE"""),181.11)</f>
        <v>181.11</v>
      </c>
      <c r="E372" s="2">
        <f>IFERROR(__xludf.DUMMYFUNCTION("""COMPUTED_VALUE"""),185.58)</f>
        <v>185.58</v>
      </c>
      <c r="F372" s="2">
        <f>IFERROR(__xludf.DUMMYFUNCTION("""COMPUTED_VALUE"""),1.8917734E7)</f>
        <v>18917734</v>
      </c>
    </row>
    <row r="373">
      <c r="A373" s="3">
        <f>IFERROR(__xludf.DUMMYFUNCTION("""COMPUTED_VALUE"""),45469.66666666667)</f>
        <v>45469.66667</v>
      </c>
      <c r="B373" s="2">
        <f>IFERROR(__xludf.DUMMYFUNCTION("""COMPUTED_VALUE"""),184.2)</f>
        <v>184.2</v>
      </c>
      <c r="C373" s="2">
        <f>IFERROR(__xludf.DUMMYFUNCTION("""COMPUTED_VALUE"""),185.93)</f>
        <v>185.93</v>
      </c>
      <c r="D373" s="2">
        <f>IFERROR(__xludf.DUMMYFUNCTION("""COMPUTED_VALUE"""),183.99)</f>
        <v>183.99</v>
      </c>
      <c r="E373" s="2">
        <f>IFERROR(__xludf.DUMMYFUNCTION("""COMPUTED_VALUE"""),185.37)</f>
        <v>185.37</v>
      </c>
      <c r="F373" s="2">
        <f>IFERROR(__xludf.DUMMYFUNCTION("""COMPUTED_VALUE"""),1.3375715E7)</f>
        <v>13375715</v>
      </c>
    </row>
    <row r="374">
      <c r="A374" s="3">
        <f>IFERROR(__xludf.DUMMYFUNCTION("""COMPUTED_VALUE"""),45470.66666666667)</f>
        <v>45470.66667</v>
      </c>
      <c r="B374" s="2">
        <f>IFERROR(__xludf.DUMMYFUNCTION("""COMPUTED_VALUE"""),185.65)</f>
        <v>185.65</v>
      </c>
      <c r="C374" s="2">
        <f>IFERROR(__xludf.DUMMYFUNCTION("""COMPUTED_VALUE"""),187.5)</f>
        <v>187.5</v>
      </c>
      <c r="D374" s="2">
        <f>IFERROR(__xludf.DUMMYFUNCTION("""COMPUTED_VALUE"""),185.45)</f>
        <v>185.45</v>
      </c>
      <c r="E374" s="2">
        <f>IFERROR(__xludf.DUMMYFUNCTION("""COMPUTED_VALUE"""),186.86)</f>
        <v>186.86</v>
      </c>
      <c r="F374" s="2">
        <f>IFERROR(__xludf.DUMMYFUNCTION("""COMPUTED_VALUE"""),1.3025656E7)</f>
        <v>13025656</v>
      </c>
    </row>
    <row r="375">
      <c r="A375" s="3">
        <f>IFERROR(__xludf.DUMMYFUNCTION("""COMPUTED_VALUE"""),45471.66666666667)</f>
        <v>45471.66667</v>
      </c>
      <c r="B375" s="2">
        <f>IFERROR(__xludf.DUMMYFUNCTION("""COMPUTED_VALUE"""),185.72)</f>
        <v>185.72</v>
      </c>
      <c r="C375" s="2">
        <f>IFERROR(__xludf.DUMMYFUNCTION("""COMPUTED_VALUE"""),186.58)</f>
        <v>186.58</v>
      </c>
      <c r="D375" s="2">
        <f>IFERROR(__xludf.DUMMYFUNCTION("""COMPUTED_VALUE"""),183.33)</f>
        <v>183.33</v>
      </c>
      <c r="E375" s="2">
        <f>IFERROR(__xludf.DUMMYFUNCTION("""COMPUTED_VALUE"""),183.42)</f>
        <v>183.42</v>
      </c>
      <c r="F375" s="2">
        <f>IFERROR(__xludf.DUMMYFUNCTION("""COMPUTED_VALUE"""),2.3032362E7)</f>
        <v>23032362</v>
      </c>
    </row>
    <row r="376">
      <c r="A376" s="3">
        <f>IFERROR(__xludf.DUMMYFUNCTION("""COMPUTED_VALUE"""),45474.66666666667)</f>
        <v>45474.66667</v>
      </c>
      <c r="B376" s="2">
        <f>IFERROR(__xludf.DUMMYFUNCTION("""COMPUTED_VALUE"""),184.48)</f>
        <v>184.48</v>
      </c>
      <c r="C376" s="2">
        <f>IFERROR(__xludf.DUMMYFUNCTION("""COMPUTED_VALUE"""),185.34)</f>
        <v>185.34</v>
      </c>
      <c r="D376" s="2">
        <f>IFERROR(__xludf.DUMMYFUNCTION("""COMPUTED_VALUE"""),182.73)</f>
        <v>182.73</v>
      </c>
      <c r="E376" s="2">
        <f>IFERROR(__xludf.DUMMYFUNCTION("""COMPUTED_VALUE"""),184.49)</f>
        <v>184.49</v>
      </c>
      <c r="F376" s="2">
        <f>IFERROR(__xludf.DUMMYFUNCTION("""COMPUTED_VALUE"""),1.1815862E7)</f>
        <v>11815862</v>
      </c>
    </row>
    <row r="377">
      <c r="A377" s="3">
        <f>IFERROR(__xludf.DUMMYFUNCTION("""COMPUTED_VALUE"""),45475.66666666667)</f>
        <v>45475.66667</v>
      </c>
      <c r="B377" s="2">
        <f>IFERROR(__xludf.DUMMYFUNCTION("""COMPUTED_VALUE"""),183.47)</f>
        <v>183.47</v>
      </c>
      <c r="C377" s="2">
        <f>IFERROR(__xludf.DUMMYFUNCTION("""COMPUTED_VALUE"""),186.95)</f>
        <v>186.95</v>
      </c>
      <c r="D377" s="2">
        <f>IFERROR(__xludf.DUMMYFUNCTION("""COMPUTED_VALUE"""),183.06)</f>
        <v>183.06</v>
      </c>
      <c r="E377" s="2">
        <f>IFERROR(__xludf.DUMMYFUNCTION("""COMPUTED_VALUE"""),186.61)</f>
        <v>186.61</v>
      </c>
      <c r="F377" s="2">
        <f>IFERROR(__xludf.DUMMYFUNCTION("""COMPUTED_VALUE"""),1.2555545E7)</f>
        <v>12555545</v>
      </c>
    </row>
    <row r="378">
      <c r="A378" s="3">
        <f>IFERROR(__xludf.DUMMYFUNCTION("""COMPUTED_VALUE"""),45476.54513888889)</f>
        <v>45476.54514</v>
      </c>
      <c r="B378" s="2">
        <f>IFERROR(__xludf.DUMMYFUNCTION("""COMPUTED_VALUE"""),186.3)</f>
        <v>186.3</v>
      </c>
      <c r="C378" s="2">
        <f>IFERROR(__xludf.DUMMYFUNCTION("""COMPUTED_VALUE"""),187.62)</f>
        <v>187.62</v>
      </c>
      <c r="D378" s="2">
        <f>IFERROR(__xludf.DUMMYFUNCTION("""COMPUTED_VALUE"""),185.39)</f>
        <v>185.39</v>
      </c>
      <c r="E378" s="2">
        <f>IFERROR(__xludf.DUMMYFUNCTION("""COMPUTED_VALUE"""),187.39)</f>
        <v>187.39</v>
      </c>
      <c r="F378" s="2">
        <f>IFERROR(__xludf.DUMMYFUNCTION("""COMPUTED_VALUE"""),7409106.0)</f>
        <v>7409106</v>
      </c>
    </row>
    <row r="379">
      <c r="A379" s="3">
        <f>IFERROR(__xludf.DUMMYFUNCTION("""COMPUTED_VALUE"""),45478.66666666667)</f>
        <v>45478.66667</v>
      </c>
      <c r="B379" s="2">
        <f>IFERROR(__xludf.DUMMYFUNCTION("""COMPUTED_VALUE"""),187.32)</f>
        <v>187.32</v>
      </c>
      <c r="C379" s="2">
        <f>IFERROR(__xludf.DUMMYFUNCTION("""COMPUTED_VALUE"""),192.26)</f>
        <v>192.26</v>
      </c>
      <c r="D379" s="2">
        <f>IFERROR(__xludf.DUMMYFUNCTION("""COMPUTED_VALUE"""),187.32)</f>
        <v>187.32</v>
      </c>
      <c r="E379" s="2">
        <f>IFERROR(__xludf.DUMMYFUNCTION("""COMPUTED_VALUE"""),191.96)</f>
        <v>191.96</v>
      </c>
      <c r="F379" s="2">
        <f>IFERROR(__xludf.DUMMYFUNCTION("""COMPUTED_VALUE"""),1.4303361E7)</f>
        <v>14303361</v>
      </c>
    </row>
    <row r="380">
      <c r="A380" s="3">
        <f>IFERROR(__xludf.DUMMYFUNCTION("""COMPUTED_VALUE"""),45481.66666666667)</f>
        <v>45481.66667</v>
      </c>
      <c r="B380" s="2">
        <f>IFERROR(__xludf.DUMMYFUNCTION("""COMPUTED_VALUE"""),191.37)</f>
        <v>191.37</v>
      </c>
      <c r="C380" s="2">
        <f>IFERROR(__xludf.DUMMYFUNCTION("""COMPUTED_VALUE"""),191.68)</f>
        <v>191.68</v>
      </c>
      <c r="D380" s="2">
        <f>IFERROR(__xludf.DUMMYFUNCTION("""COMPUTED_VALUE"""),189.32)</f>
        <v>189.32</v>
      </c>
      <c r="E380" s="2">
        <f>IFERROR(__xludf.DUMMYFUNCTION("""COMPUTED_VALUE"""),190.48)</f>
        <v>190.48</v>
      </c>
      <c r="F380" s="2">
        <f>IFERROR(__xludf.DUMMYFUNCTION("""COMPUTED_VALUE"""),1.2097611E7)</f>
        <v>12097611</v>
      </c>
    </row>
    <row r="381">
      <c r="A381" s="3">
        <f>IFERROR(__xludf.DUMMYFUNCTION("""COMPUTED_VALUE"""),45482.66666666667)</f>
        <v>45482.66667</v>
      </c>
      <c r="B381" s="2">
        <f>IFERROR(__xludf.DUMMYFUNCTION("""COMPUTED_VALUE"""),191.75)</f>
        <v>191.75</v>
      </c>
      <c r="C381" s="2">
        <f>IFERROR(__xludf.DUMMYFUNCTION("""COMPUTED_VALUE"""),192.86)</f>
        <v>192.86</v>
      </c>
      <c r="D381" s="2">
        <f>IFERROR(__xludf.DUMMYFUNCTION("""COMPUTED_VALUE"""),190.23)</f>
        <v>190.23</v>
      </c>
      <c r="E381" s="2">
        <f>IFERROR(__xludf.DUMMYFUNCTION("""COMPUTED_VALUE"""),190.44)</f>
        <v>190.44</v>
      </c>
      <c r="F381" s="2">
        <f>IFERROR(__xludf.DUMMYFUNCTION("""COMPUTED_VALUE"""),1.0224925E7)</f>
        <v>10224925</v>
      </c>
    </row>
    <row r="382">
      <c r="A382" s="3">
        <f>IFERROR(__xludf.DUMMYFUNCTION("""COMPUTED_VALUE"""),45483.66666666667)</f>
        <v>45483.66667</v>
      </c>
      <c r="B382" s="2">
        <f>IFERROR(__xludf.DUMMYFUNCTION("""COMPUTED_VALUE"""),190.75)</f>
        <v>190.75</v>
      </c>
      <c r="C382" s="2">
        <f>IFERROR(__xludf.DUMMYFUNCTION("""COMPUTED_VALUE"""),193.31)</f>
        <v>193.31</v>
      </c>
      <c r="D382" s="2">
        <f>IFERROR(__xludf.DUMMYFUNCTION("""COMPUTED_VALUE"""),190.62)</f>
        <v>190.62</v>
      </c>
      <c r="E382" s="2">
        <f>IFERROR(__xludf.DUMMYFUNCTION("""COMPUTED_VALUE"""),192.66)</f>
        <v>192.66</v>
      </c>
      <c r="F382" s="2">
        <f>IFERROR(__xludf.DUMMYFUNCTION("""COMPUTED_VALUE"""),1.2052906E7)</f>
        <v>12052906</v>
      </c>
    </row>
    <row r="383">
      <c r="A383" s="3">
        <f>IFERROR(__xludf.DUMMYFUNCTION("""COMPUTED_VALUE"""),45484.66666666667)</f>
        <v>45484.66667</v>
      </c>
      <c r="B383" s="2">
        <f>IFERROR(__xludf.DUMMYFUNCTION("""COMPUTED_VALUE"""),191.34)</f>
        <v>191.34</v>
      </c>
      <c r="C383" s="2">
        <f>IFERROR(__xludf.DUMMYFUNCTION("""COMPUTED_VALUE"""),192.41)</f>
        <v>192.41</v>
      </c>
      <c r="D383" s="2">
        <f>IFERROR(__xludf.DUMMYFUNCTION("""COMPUTED_VALUE"""),186.82)</f>
        <v>186.82</v>
      </c>
      <c r="E383" s="2">
        <f>IFERROR(__xludf.DUMMYFUNCTION("""COMPUTED_VALUE"""),187.3)</f>
        <v>187.3</v>
      </c>
      <c r="F383" s="2">
        <f>IFERROR(__xludf.DUMMYFUNCTION("""COMPUTED_VALUE"""),1.6451981E7)</f>
        <v>16451981</v>
      </c>
    </row>
    <row r="384">
      <c r="A384" s="3">
        <f>IFERROR(__xludf.DUMMYFUNCTION("""COMPUTED_VALUE"""),45485.66666666667)</f>
        <v>45485.66667</v>
      </c>
      <c r="B384" s="2">
        <f>IFERROR(__xludf.DUMMYFUNCTION("""COMPUTED_VALUE"""),186.92)</f>
        <v>186.92</v>
      </c>
      <c r="C384" s="2">
        <f>IFERROR(__xludf.DUMMYFUNCTION("""COMPUTED_VALUE"""),188.69)</f>
        <v>188.69</v>
      </c>
      <c r="D384" s="2">
        <f>IFERROR(__xludf.DUMMYFUNCTION("""COMPUTED_VALUE"""),186.14)</f>
        <v>186.14</v>
      </c>
      <c r="E384" s="2">
        <f>IFERROR(__xludf.DUMMYFUNCTION("""COMPUTED_VALUE"""),186.78)</f>
        <v>186.78</v>
      </c>
      <c r="F384" s="2">
        <f>IFERROR(__xludf.DUMMYFUNCTION("""COMPUTED_VALUE"""),1.4449113E7)</f>
        <v>14449113</v>
      </c>
    </row>
    <row r="385">
      <c r="A385" s="3">
        <f>IFERROR(__xludf.DUMMYFUNCTION("""COMPUTED_VALUE"""),45488.66666666667)</f>
        <v>45488.66667</v>
      </c>
      <c r="B385" s="2">
        <f>IFERROR(__xludf.DUMMYFUNCTION("""COMPUTED_VALUE"""),186.49)</f>
        <v>186.49</v>
      </c>
      <c r="C385" s="2">
        <f>IFERROR(__xludf.DUMMYFUNCTION("""COMPUTED_VALUE"""),189.9)</f>
        <v>189.9</v>
      </c>
      <c r="D385" s="2">
        <f>IFERROR(__xludf.DUMMYFUNCTION("""COMPUTED_VALUE"""),186.49)</f>
        <v>186.49</v>
      </c>
      <c r="E385" s="2">
        <f>IFERROR(__xludf.DUMMYFUNCTION("""COMPUTED_VALUE"""),188.19)</f>
        <v>188.19</v>
      </c>
      <c r="F385" s="2">
        <f>IFERROR(__xludf.DUMMYFUNCTION("""COMPUTED_VALUE"""),1.2186015E7)</f>
        <v>12186015</v>
      </c>
    </row>
    <row r="386">
      <c r="A386" s="3">
        <f>IFERROR(__xludf.DUMMYFUNCTION("""COMPUTED_VALUE"""),45489.66666666667)</f>
        <v>45489.66667</v>
      </c>
      <c r="B386" s="2">
        <f>IFERROR(__xludf.DUMMYFUNCTION("""COMPUTED_VALUE"""),188.96)</f>
        <v>188.96</v>
      </c>
      <c r="C386" s="2">
        <f>IFERROR(__xludf.DUMMYFUNCTION("""COMPUTED_VALUE"""),190.34)</f>
        <v>190.34</v>
      </c>
      <c r="D386" s="2">
        <f>IFERROR(__xludf.DUMMYFUNCTION("""COMPUTED_VALUE"""),185.12)</f>
        <v>185.12</v>
      </c>
      <c r="E386" s="2">
        <f>IFERROR(__xludf.DUMMYFUNCTION("""COMPUTED_VALUE"""),185.5)</f>
        <v>185.5</v>
      </c>
      <c r="F386" s="2">
        <f>IFERROR(__xludf.DUMMYFUNCTION("""COMPUTED_VALUE"""),1.2760102E7)</f>
        <v>12760102</v>
      </c>
    </row>
    <row r="387">
      <c r="A387" s="3">
        <f>IFERROR(__xludf.DUMMYFUNCTION("""COMPUTED_VALUE"""),45490.66666666667)</f>
        <v>45490.66667</v>
      </c>
      <c r="B387" s="2">
        <f>IFERROR(__xludf.DUMMYFUNCTION("""COMPUTED_VALUE"""),184.68)</f>
        <v>184.68</v>
      </c>
      <c r="C387" s="2">
        <f>IFERROR(__xludf.DUMMYFUNCTION("""COMPUTED_VALUE"""),185.23)</f>
        <v>185.23</v>
      </c>
      <c r="D387" s="2">
        <f>IFERROR(__xludf.DUMMYFUNCTION("""COMPUTED_VALUE"""),181.62)</f>
        <v>181.62</v>
      </c>
      <c r="E387" s="2">
        <f>IFERROR(__xludf.DUMMYFUNCTION("""COMPUTED_VALUE"""),182.62)</f>
        <v>182.62</v>
      </c>
      <c r="F387" s="2">
        <f>IFERROR(__xludf.DUMMYFUNCTION("""COMPUTED_VALUE"""),1.7376563E7)</f>
        <v>17376563</v>
      </c>
    </row>
    <row r="388">
      <c r="A388" s="3">
        <f>IFERROR(__xludf.DUMMYFUNCTION("""COMPUTED_VALUE"""),45491.66666666667)</f>
        <v>45491.66667</v>
      </c>
      <c r="B388" s="2">
        <f>IFERROR(__xludf.DUMMYFUNCTION("""COMPUTED_VALUE"""),183.54)</f>
        <v>183.54</v>
      </c>
      <c r="C388" s="2">
        <f>IFERROR(__xludf.DUMMYFUNCTION("""COMPUTED_VALUE"""),184.05)</f>
        <v>184.05</v>
      </c>
      <c r="D388" s="2">
        <f>IFERROR(__xludf.DUMMYFUNCTION("""COMPUTED_VALUE"""),178.21)</f>
        <v>178.21</v>
      </c>
      <c r="E388" s="2">
        <f>IFERROR(__xludf.DUMMYFUNCTION("""COMPUTED_VALUE"""),179.22)</f>
        <v>179.22</v>
      </c>
      <c r="F388" s="2">
        <f>IFERROR(__xludf.DUMMYFUNCTION("""COMPUTED_VALUE"""),1.7877197E7)</f>
        <v>17877197</v>
      </c>
    </row>
    <row r="389">
      <c r="A389" s="3">
        <f>IFERROR(__xludf.DUMMYFUNCTION("""COMPUTED_VALUE"""),45492.66666666667)</f>
        <v>45492.66667</v>
      </c>
      <c r="B389" s="2">
        <f>IFERROR(__xludf.DUMMYFUNCTION("""COMPUTED_VALUE"""),180.37)</f>
        <v>180.37</v>
      </c>
      <c r="C389" s="2">
        <f>IFERROR(__xludf.DUMMYFUNCTION("""COMPUTED_VALUE"""),181.97)</f>
        <v>181.97</v>
      </c>
      <c r="D389" s="2">
        <f>IFERROR(__xludf.DUMMYFUNCTION("""COMPUTED_VALUE"""),178.86)</f>
        <v>178.86</v>
      </c>
      <c r="E389" s="2">
        <f>IFERROR(__xludf.DUMMYFUNCTION("""COMPUTED_VALUE"""),179.39)</f>
        <v>179.39</v>
      </c>
      <c r="F389" s="2">
        <f>IFERROR(__xludf.DUMMYFUNCTION("""COMPUTED_VALUE"""),1.4485899E7)</f>
        <v>14485899</v>
      </c>
    </row>
    <row r="390">
      <c r="A390" s="3">
        <f>IFERROR(__xludf.DUMMYFUNCTION("""COMPUTED_VALUE"""),45495.66666666667)</f>
        <v>45495.66667</v>
      </c>
      <c r="B390" s="2">
        <f>IFERROR(__xludf.DUMMYFUNCTION("""COMPUTED_VALUE"""),182.35)</f>
        <v>182.35</v>
      </c>
      <c r="C390" s="2">
        <f>IFERROR(__xludf.DUMMYFUNCTION("""COMPUTED_VALUE"""),184.3)</f>
        <v>184.3</v>
      </c>
      <c r="D390" s="2">
        <f>IFERROR(__xludf.DUMMYFUNCTION("""COMPUTED_VALUE"""),181.9)</f>
        <v>181.9</v>
      </c>
      <c r="E390" s="2">
        <f>IFERROR(__xludf.DUMMYFUNCTION("""COMPUTED_VALUE"""),183.35)</f>
        <v>183.35</v>
      </c>
      <c r="F390" s="2">
        <f>IFERROR(__xludf.DUMMYFUNCTION("""COMPUTED_VALUE"""),1.6303896E7)</f>
        <v>16303896</v>
      </c>
    </row>
    <row r="391">
      <c r="A391" s="3">
        <f>IFERROR(__xludf.DUMMYFUNCTION("""COMPUTED_VALUE"""),45496.66666666667)</f>
        <v>45496.66667</v>
      </c>
      <c r="B391" s="2">
        <f>IFERROR(__xludf.DUMMYFUNCTION("""COMPUTED_VALUE"""),183.84)</f>
        <v>183.84</v>
      </c>
      <c r="C391" s="2">
        <f>IFERROR(__xludf.DUMMYFUNCTION("""COMPUTED_VALUE"""),185.22)</f>
        <v>185.22</v>
      </c>
      <c r="D391" s="2">
        <f>IFERROR(__xludf.DUMMYFUNCTION("""COMPUTED_VALUE"""),183.33)</f>
        <v>183.33</v>
      </c>
      <c r="E391" s="2">
        <f>IFERROR(__xludf.DUMMYFUNCTION("""COMPUTED_VALUE"""),183.6)</f>
        <v>183.6</v>
      </c>
      <c r="F391" s="2">
        <f>IFERROR(__xludf.DUMMYFUNCTION("""COMPUTED_VALUE"""),2.3772602E7)</f>
        <v>23772602</v>
      </c>
    </row>
    <row r="392">
      <c r="A392" s="3">
        <f>IFERROR(__xludf.DUMMYFUNCTION("""COMPUTED_VALUE"""),45497.66666666667)</f>
        <v>45497.66667</v>
      </c>
      <c r="B392" s="2">
        <f>IFERROR(__xludf.DUMMYFUNCTION("""COMPUTED_VALUE"""),175.39)</f>
        <v>175.39</v>
      </c>
      <c r="C392" s="2">
        <f>IFERROR(__xludf.DUMMYFUNCTION("""COMPUTED_VALUE"""),177.95)</f>
        <v>177.95</v>
      </c>
      <c r="D392" s="2">
        <f>IFERROR(__xludf.DUMMYFUNCTION("""COMPUTED_VALUE"""),173.57)</f>
        <v>173.57</v>
      </c>
      <c r="E392" s="2">
        <f>IFERROR(__xludf.DUMMYFUNCTION("""COMPUTED_VALUE"""),174.37)</f>
        <v>174.37</v>
      </c>
      <c r="F392" s="2">
        <f>IFERROR(__xludf.DUMMYFUNCTION("""COMPUTED_VALUE"""),3.1250683E7)</f>
        <v>31250683</v>
      </c>
    </row>
    <row r="393">
      <c r="A393" s="3">
        <f>IFERROR(__xludf.DUMMYFUNCTION("""COMPUTED_VALUE"""),45498.66666666667)</f>
        <v>45498.66667</v>
      </c>
      <c r="B393" s="2">
        <f>IFERROR(__xludf.DUMMYFUNCTION("""COMPUTED_VALUE"""),174.25)</f>
        <v>174.25</v>
      </c>
      <c r="C393" s="2">
        <f>IFERROR(__xludf.DUMMYFUNCTION("""COMPUTED_VALUE"""),175.2)</f>
        <v>175.2</v>
      </c>
      <c r="D393" s="2">
        <f>IFERROR(__xludf.DUMMYFUNCTION("""COMPUTED_VALUE"""),169.05)</f>
        <v>169.05</v>
      </c>
      <c r="E393" s="2">
        <f>IFERROR(__xludf.DUMMYFUNCTION("""COMPUTED_VALUE"""),169.16)</f>
        <v>169.16</v>
      </c>
      <c r="F393" s="2">
        <f>IFERROR(__xludf.DUMMYFUNCTION("""COMPUTED_VALUE"""),2.896788E7)</f>
        <v>28967880</v>
      </c>
    </row>
    <row r="394">
      <c r="A394" s="3">
        <f>IFERROR(__xludf.DUMMYFUNCTION("""COMPUTED_VALUE"""),45499.66666666667)</f>
        <v>45499.66667</v>
      </c>
      <c r="B394" s="2">
        <f>IFERROR(__xludf.DUMMYFUNCTION("""COMPUTED_VALUE"""),168.77)</f>
        <v>168.77</v>
      </c>
      <c r="C394" s="2">
        <f>IFERROR(__xludf.DUMMYFUNCTION("""COMPUTED_VALUE"""),169.84)</f>
        <v>169.84</v>
      </c>
      <c r="D394" s="2">
        <f>IFERROR(__xludf.DUMMYFUNCTION("""COMPUTED_VALUE"""),165.87)</f>
        <v>165.87</v>
      </c>
      <c r="E394" s="2">
        <f>IFERROR(__xludf.DUMMYFUNCTION("""COMPUTED_VALUE"""),168.68)</f>
        <v>168.68</v>
      </c>
      <c r="F394" s="2">
        <f>IFERROR(__xludf.DUMMYFUNCTION("""COMPUTED_VALUE"""),2.5150116E7)</f>
        <v>25150116</v>
      </c>
    </row>
    <row r="395">
      <c r="A395" s="3">
        <f>IFERROR(__xludf.DUMMYFUNCTION("""COMPUTED_VALUE"""),45502.66666666667)</f>
        <v>45502.66667</v>
      </c>
      <c r="B395" s="2">
        <f>IFERROR(__xludf.DUMMYFUNCTION("""COMPUTED_VALUE"""),170.5)</f>
        <v>170.5</v>
      </c>
      <c r="C395" s="2">
        <f>IFERROR(__xludf.DUMMYFUNCTION("""COMPUTED_VALUE"""),172.16)</f>
        <v>172.16</v>
      </c>
      <c r="D395" s="2">
        <f>IFERROR(__xludf.DUMMYFUNCTION("""COMPUTED_VALUE"""),169.72)</f>
        <v>169.72</v>
      </c>
      <c r="E395" s="2">
        <f>IFERROR(__xludf.DUMMYFUNCTION("""COMPUTED_VALUE"""),171.13)</f>
        <v>171.13</v>
      </c>
      <c r="F395" s="2">
        <f>IFERROR(__xludf.DUMMYFUNCTION("""COMPUTED_VALUE"""),1.3768931E7)</f>
        <v>13768931</v>
      </c>
    </row>
    <row r="396">
      <c r="A396" s="3">
        <f>IFERROR(__xludf.DUMMYFUNCTION("""COMPUTED_VALUE"""),45503.66666666667)</f>
        <v>45503.66667</v>
      </c>
      <c r="B396" s="2">
        <f>IFERROR(__xludf.DUMMYFUNCTION("""COMPUTED_VALUE"""),171.83)</f>
        <v>171.83</v>
      </c>
      <c r="C396" s="2">
        <f>IFERROR(__xludf.DUMMYFUNCTION("""COMPUTED_VALUE"""),172.95)</f>
        <v>172.95</v>
      </c>
      <c r="D396" s="2">
        <f>IFERROR(__xludf.DUMMYFUNCTION("""COMPUTED_VALUE"""),170.12)</f>
        <v>170.12</v>
      </c>
      <c r="E396" s="2">
        <f>IFERROR(__xludf.DUMMYFUNCTION("""COMPUTED_VALUE"""),171.86)</f>
        <v>171.86</v>
      </c>
      <c r="F396" s="2">
        <f>IFERROR(__xludf.DUMMYFUNCTION("""COMPUTED_VALUE"""),1.3681418E7)</f>
        <v>13681418</v>
      </c>
    </row>
    <row r="397">
      <c r="A397" s="3">
        <f>IFERROR(__xludf.DUMMYFUNCTION("""COMPUTED_VALUE"""),45504.66666666667)</f>
        <v>45504.66667</v>
      </c>
      <c r="B397" s="2">
        <f>IFERROR(__xludf.DUMMYFUNCTION("""COMPUTED_VALUE"""),174.92)</f>
        <v>174.92</v>
      </c>
      <c r="C397" s="2">
        <f>IFERROR(__xludf.DUMMYFUNCTION("""COMPUTED_VALUE"""),175.91)</f>
        <v>175.91</v>
      </c>
      <c r="D397" s="2">
        <f>IFERROR(__xludf.DUMMYFUNCTION("""COMPUTED_VALUE"""),171.72)</f>
        <v>171.72</v>
      </c>
      <c r="E397" s="2">
        <f>IFERROR(__xludf.DUMMYFUNCTION("""COMPUTED_VALUE"""),173.15)</f>
        <v>173.15</v>
      </c>
      <c r="F397" s="2">
        <f>IFERROR(__xludf.DUMMYFUNCTION("""COMPUTED_VALUE"""),1.5650154E7)</f>
        <v>15650154</v>
      </c>
    </row>
    <row r="398">
      <c r="A398" s="3">
        <f>IFERROR(__xludf.DUMMYFUNCTION("""COMPUTED_VALUE"""),45505.66666666667)</f>
        <v>45505.66667</v>
      </c>
      <c r="B398" s="2">
        <f>IFERROR(__xludf.DUMMYFUNCTION("""COMPUTED_VALUE"""),171.98)</f>
        <v>171.98</v>
      </c>
      <c r="C398" s="2">
        <f>IFERROR(__xludf.DUMMYFUNCTION("""COMPUTED_VALUE"""),175.68)</f>
        <v>175.68</v>
      </c>
      <c r="D398" s="2">
        <f>IFERROR(__xludf.DUMMYFUNCTION("""COMPUTED_VALUE"""),170.51)</f>
        <v>170.51</v>
      </c>
      <c r="E398" s="2">
        <f>IFERROR(__xludf.DUMMYFUNCTION("""COMPUTED_VALUE"""),172.45)</f>
        <v>172.45</v>
      </c>
      <c r="F398" s="2">
        <f>IFERROR(__xludf.DUMMYFUNCTION("""COMPUTED_VALUE"""),1.7177833E7)</f>
        <v>17177833</v>
      </c>
    </row>
    <row r="399">
      <c r="A399" s="3">
        <f>IFERROR(__xludf.DUMMYFUNCTION("""COMPUTED_VALUE"""),45506.66666666667)</f>
        <v>45506.66667</v>
      </c>
      <c r="B399" s="2">
        <f>IFERROR(__xludf.DUMMYFUNCTION("""COMPUTED_VALUE"""),168.19)</f>
        <v>168.19</v>
      </c>
      <c r="C399" s="2">
        <f>IFERROR(__xludf.DUMMYFUNCTION("""COMPUTED_VALUE"""),170.21)</f>
        <v>170.21</v>
      </c>
      <c r="D399" s="2">
        <f>IFERROR(__xludf.DUMMYFUNCTION("""COMPUTED_VALUE"""),166.39)</f>
        <v>166.39</v>
      </c>
      <c r="E399" s="2">
        <f>IFERROR(__xludf.DUMMYFUNCTION("""COMPUTED_VALUE"""),168.4)</f>
        <v>168.4</v>
      </c>
      <c r="F399" s="2">
        <f>IFERROR(__xludf.DUMMYFUNCTION("""COMPUTED_VALUE"""),1.8907773E7)</f>
        <v>18907773</v>
      </c>
    </row>
    <row r="400">
      <c r="A400" s="3">
        <f>IFERROR(__xludf.DUMMYFUNCTION("""COMPUTED_VALUE"""),45509.66666666667)</f>
        <v>45509.66667</v>
      </c>
      <c r="B400" s="2">
        <f>IFERROR(__xludf.DUMMYFUNCTION("""COMPUTED_VALUE"""),157.37)</f>
        <v>157.37</v>
      </c>
      <c r="C400" s="2">
        <f>IFERROR(__xludf.DUMMYFUNCTION("""COMPUTED_VALUE"""),165.94)</f>
        <v>165.94</v>
      </c>
      <c r="D400" s="2">
        <f>IFERROR(__xludf.DUMMYFUNCTION("""COMPUTED_VALUE"""),156.6)</f>
        <v>156.6</v>
      </c>
      <c r="E400" s="2">
        <f>IFERROR(__xludf.DUMMYFUNCTION("""COMPUTED_VALUE"""),160.64)</f>
        <v>160.64</v>
      </c>
      <c r="F400" s="2">
        <f>IFERROR(__xludf.DUMMYFUNCTION("""COMPUTED_VALUE"""),3.4907815E7)</f>
        <v>34907815</v>
      </c>
    </row>
    <row r="401">
      <c r="A401" s="3">
        <f>IFERROR(__xludf.DUMMYFUNCTION("""COMPUTED_VALUE"""),45510.66666666667)</f>
        <v>45510.66667</v>
      </c>
      <c r="B401" s="2">
        <f>IFERROR(__xludf.DUMMYFUNCTION("""COMPUTED_VALUE"""),160.95)</f>
        <v>160.95</v>
      </c>
      <c r="C401" s="2">
        <f>IFERROR(__xludf.DUMMYFUNCTION("""COMPUTED_VALUE"""),162.35)</f>
        <v>162.35</v>
      </c>
      <c r="D401" s="2">
        <f>IFERROR(__xludf.DUMMYFUNCTION("""COMPUTED_VALUE"""),158.13)</f>
        <v>158.13</v>
      </c>
      <c r="E401" s="2">
        <f>IFERROR(__xludf.DUMMYFUNCTION("""COMPUTED_VALUE"""),160.54)</f>
        <v>160.54</v>
      </c>
      <c r="F401" s="2">
        <f>IFERROR(__xludf.DUMMYFUNCTION("""COMPUTED_VALUE"""),3.6146541E7)</f>
        <v>36146541</v>
      </c>
    </row>
    <row r="402">
      <c r="A402" s="3">
        <f>IFERROR(__xludf.DUMMYFUNCTION("""COMPUTED_VALUE"""),45511.66666666667)</f>
        <v>45511.66667</v>
      </c>
      <c r="B402" s="2">
        <f>IFERROR(__xludf.DUMMYFUNCTION("""COMPUTED_VALUE"""),163.24)</f>
        <v>163.24</v>
      </c>
      <c r="C402" s="2">
        <f>IFERROR(__xludf.DUMMYFUNCTION("""COMPUTED_VALUE"""),164.79)</f>
        <v>164.79</v>
      </c>
      <c r="D402" s="2">
        <f>IFERROR(__xludf.DUMMYFUNCTION("""COMPUTED_VALUE"""),160.24)</f>
        <v>160.24</v>
      </c>
      <c r="E402" s="2">
        <f>IFERROR(__xludf.DUMMYFUNCTION("""COMPUTED_VALUE"""),160.75)</f>
        <v>160.75</v>
      </c>
      <c r="F402" s="2">
        <f>IFERROR(__xludf.DUMMYFUNCTION("""COMPUTED_VALUE"""),1.9334246E7)</f>
        <v>19334246</v>
      </c>
    </row>
    <row r="403">
      <c r="A403" s="3">
        <f>IFERROR(__xludf.DUMMYFUNCTION("""COMPUTED_VALUE"""),45512.66666666667)</f>
        <v>45512.66667</v>
      </c>
      <c r="B403" s="2">
        <f>IFERROR(__xludf.DUMMYFUNCTION("""COMPUTED_VALUE"""),162.34)</f>
        <v>162.34</v>
      </c>
      <c r="C403" s="2">
        <f>IFERROR(__xludf.DUMMYFUNCTION("""COMPUTED_VALUE"""),165.5)</f>
        <v>165.5</v>
      </c>
      <c r="D403" s="2">
        <f>IFERROR(__xludf.DUMMYFUNCTION("""COMPUTED_VALUE"""),162.03)</f>
        <v>162.03</v>
      </c>
      <c r="E403" s="2">
        <f>IFERROR(__xludf.DUMMYFUNCTION("""COMPUTED_VALUE"""),163.84)</f>
        <v>163.84</v>
      </c>
      <c r="F403" s="2">
        <f>IFERROR(__xludf.DUMMYFUNCTION("""COMPUTED_VALUE"""),1.5733612E7)</f>
        <v>15733612</v>
      </c>
    </row>
    <row r="404">
      <c r="A404" s="3">
        <f>IFERROR(__xludf.DUMMYFUNCTION("""COMPUTED_VALUE"""),45513.66666666667)</f>
        <v>45513.66667</v>
      </c>
      <c r="B404" s="2">
        <f>IFERROR(__xludf.DUMMYFUNCTION("""COMPUTED_VALUE"""),161.65)</f>
        <v>161.65</v>
      </c>
      <c r="C404" s="2">
        <f>IFERROR(__xludf.DUMMYFUNCTION("""COMPUTED_VALUE"""),165.52)</f>
        <v>165.52</v>
      </c>
      <c r="D404" s="2">
        <f>IFERROR(__xludf.DUMMYFUNCTION("""COMPUTED_VALUE"""),160.93)</f>
        <v>160.93</v>
      </c>
      <c r="E404" s="2">
        <f>IFERROR(__xludf.DUMMYFUNCTION("""COMPUTED_VALUE"""),165.39)</f>
        <v>165.39</v>
      </c>
      <c r="F404" s="2">
        <f>IFERROR(__xludf.DUMMYFUNCTION("""COMPUTED_VALUE"""),1.354923E7)</f>
        <v>13549230</v>
      </c>
    </row>
    <row r="405">
      <c r="A405" s="3">
        <f>IFERROR(__xludf.DUMMYFUNCTION("""COMPUTED_VALUE"""),45516.66666666667)</f>
        <v>45516.66667</v>
      </c>
      <c r="B405" s="2">
        <f>IFERROR(__xludf.DUMMYFUNCTION("""COMPUTED_VALUE"""),166.0)</f>
        <v>166</v>
      </c>
      <c r="C405" s="2">
        <f>IFERROR(__xludf.DUMMYFUNCTION("""COMPUTED_VALUE"""),166.7)</f>
        <v>166.7</v>
      </c>
      <c r="D405" s="2">
        <f>IFERROR(__xludf.DUMMYFUNCTION("""COMPUTED_VALUE"""),163.55)</f>
        <v>163.55</v>
      </c>
      <c r="E405" s="2">
        <f>IFERROR(__xludf.DUMMYFUNCTION("""COMPUTED_VALUE"""),163.95)</f>
        <v>163.95</v>
      </c>
      <c r="F405" s="2">
        <f>IFERROR(__xludf.DUMMYFUNCTION("""COMPUTED_VALUE"""),1.2434969E7)</f>
        <v>12434969</v>
      </c>
    </row>
    <row r="406">
      <c r="A406" s="3">
        <f>IFERROR(__xludf.DUMMYFUNCTION("""COMPUTED_VALUE"""),45517.66666666667)</f>
        <v>45517.66667</v>
      </c>
      <c r="B406" s="2">
        <f>IFERROR(__xludf.DUMMYFUNCTION("""COMPUTED_VALUE"""),165.19)</f>
        <v>165.19</v>
      </c>
      <c r="C406" s="2">
        <f>IFERROR(__xludf.DUMMYFUNCTION("""COMPUTED_VALUE"""),166.54)</f>
        <v>166.54</v>
      </c>
      <c r="D406" s="2">
        <f>IFERROR(__xludf.DUMMYFUNCTION("""COMPUTED_VALUE"""),164.77)</f>
        <v>164.77</v>
      </c>
      <c r="E406" s="2">
        <f>IFERROR(__xludf.DUMMYFUNCTION("""COMPUTED_VALUE"""),165.93)</f>
        <v>165.93</v>
      </c>
      <c r="F406" s="2">
        <f>IFERROR(__xludf.DUMMYFUNCTION("""COMPUTED_VALUE"""),1.2717628E7)</f>
        <v>12717628</v>
      </c>
    </row>
    <row r="407">
      <c r="A407" s="3">
        <f>IFERROR(__xludf.DUMMYFUNCTION("""COMPUTED_VALUE"""),45518.66666666667)</f>
        <v>45518.66667</v>
      </c>
      <c r="B407" s="2">
        <f>IFERROR(__xludf.DUMMYFUNCTION("""COMPUTED_VALUE"""),164.21)</f>
        <v>164.21</v>
      </c>
      <c r="C407" s="2">
        <f>IFERROR(__xludf.DUMMYFUNCTION("""COMPUTED_VALUE"""),164.96)</f>
        <v>164.96</v>
      </c>
      <c r="D407" s="2">
        <f>IFERROR(__xludf.DUMMYFUNCTION("""COMPUTED_VALUE"""),159.53)</f>
        <v>159.53</v>
      </c>
      <c r="E407" s="2">
        <f>IFERROR(__xludf.DUMMYFUNCTION("""COMPUTED_VALUE"""),162.03)</f>
        <v>162.03</v>
      </c>
      <c r="F407" s="2">
        <f>IFERROR(__xludf.DUMMYFUNCTION("""COMPUTED_VALUE"""),2.2515895E7)</f>
        <v>22515895</v>
      </c>
    </row>
    <row r="408">
      <c r="A408" s="3">
        <f>IFERROR(__xludf.DUMMYFUNCTION("""COMPUTED_VALUE"""),45519.66666666667)</f>
        <v>45519.66667</v>
      </c>
      <c r="B408" s="2">
        <f>IFERROR(__xludf.DUMMYFUNCTION("""COMPUTED_VALUE"""),162.21)</f>
        <v>162.21</v>
      </c>
      <c r="C408" s="2">
        <f>IFERROR(__xludf.DUMMYFUNCTION("""COMPUTED_VALUE"""),163.52)</f>
        <v>163.52</v>
      </c>
      <c r="D408" s="2">
        <f>IFERROR(__xludf.DUMMYFUNCTION("""COMPUTED_VALUE"""),161.49)</f>
        <v>161.49</v>
      </c>
      <c r="E408" s="2">
        <f>IFERROR(__xludf.DUMMYFUNCTION("""COMPUTED_VALUE"""),163.17)</f>
        <v>163.17</v>
      </c>
      <c r="F408" s="2">
        <f>IFERROR(__xludf.DUMMYFUNCTION("""COMPUTED_VALUE"""),1.8392452E7)</f>
        <v>18392452</v>
      </c>
    </row>
    <row r="409">
      <c r="A409" s="3">
        <f>IFERROR(__xludf.DUMMYFUNCTION("""COMPUTED_VALUE"""),45520.66666666667)</f>
        <v>45520.66667</v>
      </c>
      <c r="B409" s="2">
        <f>IFERROR(__xludf.DUMMYFUNCTION("""COMPUTED_VALUE"""),163.41)</f>
        <v>163.41</v>
      </c>
      <c r="C409" s="2">
        <f>IFERROR(__xludf.DUMMYFUNCTION("""COMPUTED_VALUE"""),166.95)</f>
        <v>166.95</v>
      </c>
      <c r="D409" s="2">
        <f>IFERROR(__xludf.DUMMYFUNCTION("""COMPUTED_VALUE"""),163.08)</f>
        <v>163.08</v>
      </c>
      <c r="E409" s="2">
        <f>IFERROR(__xludf.DUMMYFUNCTION("""COMPUTED_VALUE"""),164.74)</f>
        <v>164.74</v>
      </c>
      <c r="F409" s="2">
        <f>IFERROR(__xludf.DUMMYFUNCTION("""COMPUTED_VALUE"""),1.6853137E7)</f>
        <v>16853137</v>
      </c>
    </row>
    <row r="410">
      <c r="A410" s="3">
        <f>IFERROR(__xludf.DUMMYFUNCTION("""COMPUTED_VALUE"""),45523.66666666667)</f>
        <v>45523.66667</v>
      </c>
      <c r="B410" s="2">
        <f>IFERROR(__xludf.DUMMYFUNCTION("""COMPUTED_VALUE"""),167.0)</f>
        <v>167</v>
      </c>
      <c r="C410" s="2">
        <f>IFERROR(__xludf.DUMMYFUNCTION("""COMPUTED_VALUE"""),168.47)</f>
        <v>168.47</v>
      </c>
      <c r="D410" s="2">
        <f>IFERROR(__xludf.DUMMYFUNCTION("""COMPUTED_VALUE"""),166.09)</f>
        <v>166.09</v>
      </c>
      <c r="E410" s="2">
        <f>IFERROR(__xludf.DUMMYFUNCTION("""COMPUTED_VALUE"""),168.4)</f>
        <v>168.4</v>
      </c>
      <c r="F410" s="2">
        <f>IFERROR(__xludf.DUMMYFUNCTION("""COMPUTED_VALUE"""),1.3100762E7)</f>
        <v>13100762</v>
      </c>
    </row>
    <row r="411">
      <c r="A411" s="3">
        <f>IFERROR(__xludf.DUMMYFUNCTION("""COMPUTED_VALUE"""),45524.66666666667)</f>
        <v>45524.66667</v>
      </c>
      <c r="B411" s="2">
        <f>IFERROR(__xludf.DUMMYFUNCTION("""COMPUTED_VALUE"""),168.74)</f>
        <v>168.74</v>
      </c>
      <c r="C411" s="2">
        <f>IFERROR(__xludf.DUMMYFUNCTION("""COMPUTED_VALUE"""),170.41)</f>
        <v>170.41</v>
      </c>
      <c r="D411" s="2">
        <f>IFERROR(__xludf.DUMMYFUNCTION("""COMPUTED_VALUE"""),168.66)</f>
        <v>168.66</v>
      </c>
      <c r="E411" s="2">
        <f>IFERROR(__xludf.DUMMYFUNCTION("""COMPUTED_VALUE"""),168.96)</f>
        <v>168.96</v>
      </c>
      <c r="F411" s="2">
        <f>IFERROR(__xludf.DUMMYFUNCTION("""COMPUTED_VALUE"""),1.2622523E7)</f>
        <v>12622523</v>
      </c>
    </row>
    <row r="412">
      <c r="A412" s="3">
        <f>IFERROR(__xludf.DUMMYFUNCTION("""COMPUTED_VALUE"""),45525.66666666667)</f>
        <v>45525.66667</v>
      </c>
      <c r="B412" s="2">
        <f>IFERROR(__xludf.DUMMYFUNCTION("""COMPUTED_VALUE"""),166.99)</f>
        <v>166.99</v>
      </c>
      <c r="C412" s="2">
        <f>IFERROR(__xludf.DUMMYFUNCTION("""COMPUTED_VALUE"""),168.64)</f>
        <v>168.64</v>
      </c>
      <c r="D412" s="2">
        <f>IFERROR(__xludf.DUMMYFUNCTION("""COMPUTED_VALUE"""),166.57)</f>
        <v>166.57</v>
      </c>
      <c r="E412" s="2">
        <f>IFERROR(__xludf.DUMMYFUNCTION("""COMPUTED_VALUE"""),167.63)</f>
        <v>167.63</v>
      </c>
      <c r="F412" s="2">
        <f>IFERROR(__xludf.DUMMYFUNCTION("""COMPUTED_VALUE"""),1.526955E7)</f>
        <v>15269550</v>
      </c>
    </row>
    <row r="413">
      <c r="A413" s="3">
        <f>IFERROR(__xludf.DUMMYFUNCTION("""COMPUTED_VALUE"""),45526.66666666667)</f>
        <v>45526.66667</v>
      </c>
      <c r="B413" s="2">
        <f>IFERROR(__xludf.DUMMYFUNCTION("""COMPUTED_VALUE"""),169.04)</f>
        <v>169.04</v>
      </c>
      <c r="C413" s="2">
        <f>IFERROR(__xludf.DUMMYFUNCTION("""COMPUTED_VALUE"""),169.42)</f>
        <v>169.42</v>
      </c>
      <c r="D413" s="2">
        <f>IFERROR(__xludf.DUMMYFUNCTION("""COMPUTED_VALUE"""),165.03)</f>
        <v>165.03</v>
      </c>
      <c r="E413" s="2">
        <f>IFERROR(__xludf.DUMMYFUNCTION("""COMPUTED_VALUE"""),165.49)</f>
        <v>165.49</v>
      </c>
      <c r="F413" s="2">
        <f>IFERROR(__xludf.DUMMYFUNCTION("""COMPUTED_VALUE"""),1.9123778E7)</f>
        <v>19123778</v>
      </c>
    </row>
    <row r="414">
      <c r="A414" s="3">
        <f>IFERROR(__xludf.DUMMYFUNCTION("""COMPUTED_VALUE"""),45527.66666666667)</f>
        <v>45527.66667</v>
      </c>
      <c r="B414" s="2">
        <f>IFERROR(__xludf.DUMMYFUNCTION("""COMPUTED_VALUE"""),166.55)</f>
        <v>166.55</v>
      </c>
      <c r="C414" s="2">
        <f>IFERROR(__xludf.DUMMYFUNCTION("""COMPUTED_VALUE"""),167.95)</f>
        <v>167.95</v>
      </c>
      <c r="D414" s="2">
        <f>IFERROR(__xludf.DUMMYFUNCTION("""COMPUTED_VALUE"""),165.66)</f>
        <v>165.66</v>
      </c>
      <c r="E414" s="2">
        <f>IFERROR(__xludf.DUMMYFUNCTION("""COMPUTED_VALUE"""),167.43)</f>
        <v>167.43</v>
      </c>
      <c r="F414" s="2">
        <f>IFERROR(__xludf.DUMMYFUNCTION("""COMPUTED_VALUE"""),1.4281621E7)</f>
        <v>14281621</v>
      </c>
    </row>
    <row r="415">
      <c r="A415" s="3">
        <f>IFERROR(__xludf.DUMMYFUNCTION("""COMPUTED_VALUE"""),45530.66666666667)</f>
        <v>45530.66667</v>
      </c>
      <c r="B415" s="2">
        <f>IFERROR(__xludf.DUMMYFUNCTION("""COMPUTED_VALUE"""),168.16)</f>
        <v>168.16</v>
      </c>
      <c r="C415" s="2">
        <f>IFERROR(__xludf.DUMMYFUNCTION("""COMPUTED_VALUE"""),169.38)</f>
        <v>169.38</v>
      </c>
      <c r="D415" s="2">
        <f>IFERROR(__xludf.DUMMYFUNCTION("""COMPUTED_VALUE"""),166.32)</f>
        <v>166.32</v>
      </c>
      <c r="E415" s="2">
        <f>IFERROR(__xludf.DUMMYFUNCTION("""COMPUTED_VALUE"""),167.93)</f>
        <v>167.93</v>
      </c>
      <c r="F415" s="2">
        <f>IFERROR(__xludf.DUMMYFUNCTION("""COMPUTED_VALUE"""),1.1990305E7)</f>
        <v>11990305</v>
      </c>
    </row>
    <row r="416">
      <c r="A416" s="3">
        <f>IFERROR(__xludf.DUMMYFUNCTION("""COMPUTED_VALUE"""),45531.66666666667)</f>
        <v>45531.66667</v>
      </c>
      <c r="B416" s="2">
        <f>IFERROR(__xludf.DUMMYFUNCTION("""COMPUTED_VALUE"""),167.61)</f>
        <v>167.61</v>
      </c>
      <c r="C416" s="2">
        <f>IFERROR(__xludf.DUMMYFUNCTION("""COMPUTED_VALUE"""),168.25)</f>
        <v>168.25</v>
      </c>
      <c r="D416" s="2">
        <f>IFERROR(__xludf.DUMMYFUNCTION("""COMPUTED_VALUE"""),166.16)</f>
        <v>166.16</v>
      </c>
      <c r="E416" s="2">
        <f>IFERROR(__xludf.DUMMYFUNCTION("""COMPUTED_VALUE"""),166.38)</f>
        <v>166.38</v>
      </c>
      <c r="F416" s="2">
        <f>IFERROR(__xludf.DUMMYFUNCTION("""COMPUTED_VALUE"""),1.3718162E7)</f>
        <v>13718162</v>
      </c>
    </row>
    <row r="417">
      <c r="A417" s="3">
        <f>IFERROR(__xludf.DUMMYFUNCTION("""COMPUTED_VALUE"""),45532.66666666667)</f>
        <v>45532.66667</v>
      </c>
      <c r="B417" s="2">
        <f>IFERROR(__xludf.DUMMYFUNCTION("""COMPUTED_VALUE"""),166.78)</f>
        <v>166.78</v>
      </c>
      <c r="C417" s="2">
        <f>IFERROR(__xludf.DUMMYFUNCTION("""COMPUTED_VALUE"""),167.39)</f>
        <v>167.39</v>
      </c>
      <c r="D417" s="2">
        <f>IFERROR(__xludf.DUMMYFUNCTION("""COMPUTED_VALUE"""),163.28)</f>
        <v>163.28</v>
      </c>
      <c r="E417" s="2">
        <f>IFERROR(__xludf.DUMMYFUNCTION("""COMPUTED_VALUE"""),164.5)</f>
        <v>164.5</v>
      </c>
      <c r="F417" s="2">
        <f>IFERROR(__xludf.DUMMYFUNCTION("""COMPUTED_VALUE"""),1.5208736E7)</f>
        <v>15208736</v>
      </c>
    </row>
    <row r="418">
      <c r="A418" s="3">
        <f>IFERROR(__xludf.DUMMYFUNCTION("""COMPUTED_VALUE"""),45533.66666666667)</f>
        <v>45533.66667</v>
      </c>
      <c r="B418" s="2">
        <f>IFERROR(__xludf.DUMMYFUNCTION("""COMPUTED_VALUE"""),166.06)</f>
        <v>166.06</v>
      </c>
      <c r="C418" s="2">
        <f>IFERROR(__xludf.DUMMYFUNCTION("""COMPUTED_VALUE"""),167.63)</f>
        <v>167.63</v>
      </c>
      <c r="D418" s="2">
        <f>IFERROR(__xludf.DUMMYFUNCTION("""COMPUTED_VALUE"""),161.98)</f>
        <v>161.98</v>
      </c>
      <c r="E418" s="2">
        <f>IFERROR(__xludf.DUMMYFUNCTION("""COMPUTED_VALUE"""),163.4)</f>
        <v>163.4</v>
      </c>
      <c r="F418" s="2">
        <f>IFERROR(__xludf.DUMMYFUNCTION("""COMPUTED_VALUE"""),1.713383E7)</f>
        <v>17133830</v>
      </c>
    </row>
    <row r="419">
      <c r="A419" s="3">
        <f>IFERROR(__xludf.DUMMYFUNCTION("""COMPUTED_VALUE"""),45534.66666666667)</f>
        <v>45534.66667</v>
      </c>
      <c r="B419" s="2">
        <f>IFERROR(__xludf.DUMMYFUNCTION("""COMPUTED_VALUE"""),164.22)</f>
        <v>164.22</v>
      </c>
      <c r="C419" s="2">
        <f>IFERROR(__xludf.DUMMYFUNCTION("""COMPUTED_VALUE"""),165.28)</f>
        <v>165.28</v>
      </c>
      <c r="D419" s="2">
        <f>IFERROR(__xludf.DUMMYFUNCTION("""COMPUTED_VALUE"""),163.41)</f>
        <v>163.41</v>
      </c>
      <c r="E419" s="2">
        <f>IFERROR(__xludf.DUMMYFUNCTION("""COMPUTED_VALUE"""),165.11)</f>
        <v>165.11</v>
      </c>
      <c r="F419" s="2">
        <f>IFERROR(__xludf.DUMMYFUNCTION("""COMPUTED_VALUE"""),1.8498777E7)</f>
        <v>18498777</v>
      </c>
    </row>
    <row r="420">
      <c r="A420" s="3">
        <f>IFERROR(__xludf.DUMMYFUNCTION("""COMPUTED_VALUE"""),45538.66666666667)</f>
        <v>45538.66667</v>
      </c>
      <c r="B420" s="2">
        <f>IFERROR(__xludf.DUMMYFUNCTION("""COMPUTED_VALUE"""),163.32)</f>
        <v>163.32</v>
      </c>
      <c r="C420" s="2">
        <f>IFERROR(__xludf.DUMMYFUNCTION("""COMPUTED_VALUE"""),163.38)</f>
        <v>163.38</v>
      </c>
      <c r="D420" s="2">
        <f>IFERROR(__xludf.DUMMYFUNCTION("""COMPUTED_VALUE"""),157.85)</f>
        <v>157.85</v>
      </c>
      <c r="E420" s="2">
        <f>IFERROR(__xludf.DUMMYFUNCTION("""COMPUTED_VALUE"""),158.61)</f>
        <v>158.61</v>
      </c>
      <c r="F420" s="2">
        <f>IFERROR(__xludf.DUMMYFUNCTION("""COMPUTED_VALUE"""),2.653311E7)</f>
        <v>26533110</v>
      </c>
    </row>
    <row r="421">
      <c r="A421" s="3">
        <f>IFERROR(__xludf.DUMMYFUNCTION("""COMPUTED_VALUE"""),45539.66666666667)</f>
        <v>45539.66667</v>
      </c>
      <c r="B421" s="2">
        <f>IFERROR(__xludf.DUMMYFUNCTION("""COMPUTED_VALUE"""),158.07)</f>
        <v>158.07</v>
      </c>
      <c r="C421" s="2">
        <f>IFERROR(__xludf.DUMMYFUNCTION("""COMPUTED_VALUE"""),160.4)</f>
        <v>160.4</v>
      </c>
      <c r="D421" s="2">
        <f>IFERROR(__xludf.DUMMYFUNCTION("""COMPUTED_VALUE"""),157.44)</f>
        <v>157.44</v>
      </c>
      <c r="E421" s="2">
        <f>IFERROR(__xludf.DUMMYFUNCTION("""COMPUTED_VALUE"""),157.81)</f>
        <v>157.81</v>
      </c>
      <c r="F421" s="2">
        <f>IFERROR(__xludf.DUMMYFUNCTION("""COMPUTED_VALUE"""),1.7410652E7)</f>
        <v>17410652</v>
      </c>
    </row>
    <row r="422">
      <c r="A422" s="3">
        <f>IFERROR(__xludf.DUMMYFUNCTION("""COMPUTED_VALUE"""),45540.66666666667)</f>
        <v>45540.66667</v>
      </c>
      <c r="B422" s="2">
        <f>IFERROR(__xludf.DUMMYFUNCTION("""COMPUTED_VALUE"""),157.78)</f>
        <v>157.78</v>
      </c>
      <c r="C422" s="2">
        <f>IFERROR(__xludf.DUMMYFUNCTION("""COMPUTED_VALUE"""),161.01)</f>
        <v>161.01</v>
      </c>
      <c r="D422" s="2">
        <f>IFERROR(__xludf.DUMMYFUNCTION("""COMPUTED_VALUE"""),157.52)</f>
        <v>157.52</v>
      </c>
      <c r="E422" s="2">
        <f>IFERROR(__xludf.DUMMYFUNCTION("""COMPUTED_VALUE"""),158.6)</f>
        <v>158.6</v>
      </c>
      <c r="F422" s="2">
        <f>IFERROR(__xludf.DUMMYFUNCTION("""COMPUTED_VALUE"""),1.4139501E7)</f>
        <v>14139501</v>
      </c>
    </row>
    <row r="423">
      <c r="A423" s="3">
        <f>IFERROR(__xludf.DUMMYFUNCTION("""COMPUTED_VALUE"""),45541.66666666667)</f>
        <v>45541.66667</v>
      </c>
      <c r="B423" s="2">
        <f>IFERROR(__xludf.DUMMYFUNCTION("""COMPUTED_VALUE"""),158.69)</f>
        <v>158.69</v>
      </c>
      <c r="C423" s="2">
        <f>IFERROR(__xludf.DUMMYFUNCTION("""COMPUTED_VALUE"""),159.22)</f>
        <v>159.22</v>
      </c>
      <c r="D423" s="2">
        <f>IFERROR(__xludf.DUMMYFUNCTION("""COMPUTED_VALUE"""),151.94)</f>
        <v>151.94</v>
      </c>
      <c r="E423" s="2">
        <f>IFERROR(__xludf.DUMMYFUNCTION("""COMPUTED_VALUE"""),152.13)</f>
        <v>152.13</v>
      </c>
      <c r="F423" s="2">
        <f>IFERROR(__xludf.DUMMYFUNCTION("""COMPUTED_VALUE"""),2.4999062E7)</f>
        <v>24999062</v>
      </c>
    </row>
    <row r="424">
      <c r="A424" s="3">
        <f>IFERROR(__xludf.DUMMYFUNCTION("""COMPUTED_VALUE"""),45544.66666666667)</f>
        <v>45544.66667</v>
      </c>
      <c r="B424" s="2">
        <f>IFERROR(__xludf.DUMMYFUNCTION("""COMPUTED_VALUE"""),153.63)</f>
        <v>153.63</v>
      </c>
      <c r="C424" s="2">
        <f>IFERROR(__xludf.DUMMYFUNCTION("""COMPUTED_VALUE"""),154.64)</f>
        <v>154.64</v>
      </c>
      <c r="D424" s="2">
        <f>IFERROR(__xludf.DUMMYFUNCTION("""COMPUTED_VALUE"""),148.2)</f>
        <v>148.2</v>
      </c>
      <c r="E424" s="2">
        <f>IFERROR(__xludf.DUMMYFUNCTION("""COMPUTED_VALUE"""),149.54)</f>
        <v>149.54</v>
      </c>
      <c r="F424" s="2">
        <f>IFERROR(__xludf.DUMMYFUNCTION("""COMPUTED_VALUE"""),2.8057746E7)</f>
        <v>28057746</v>
      </c>
    </row>
    <row r="425">
      <c r="A425" s="3">
        <f>IFERROR(__xludf.DUMMYFUNCTION("""COMPUTED_VALUE"""),45545.66666666667)</f>
        <v>45545.66667</v>
      </c>
      <c r="B425" s="2">
        <f>IFERROR(__xludf.DUMMYFUNCTION("""COMPUTED_VALUE"""),151.45)</f>
        <v>151.45</v>
      </c>
      <c r="C425" s="2">
        <f>IFERROR(__xludf.DUMMYFUNCTION("""COMPUTED_VALUE"""),152.3)</f>
        <v>152.3</v>
      </c>
      <c r="D425" s="2">
        <f>IFERROR(__xludf.DUMMYFUNCTION("""COMPUTED_VALUE"""),149.54)</f>
        <v>149.54</v>
      </c>
      <c r="E425" s="2">
        <f>IFERROR(__xludf.DUMMYFUNCTION("""COMPUTED_VALUE"""),150.01)</f>
        <v>150.01</v>
      </c>
      <c r="F425" s="2">
        <f>IFERROR(__xludf.DUMMYFUNCTION("""COMPUTED_VALUE"""),2.0401774E7)</f>
        <v>20401774</v>
      </c>
    </row>
    <row r="426">
      <c r="A426" s="3">
        <f>IFERROR(__xludf.DUMMYFUNCTION("""COMPUTED_VALUE"""),45546.66666666667)</f>
        <v>45546.66667</v>
      </c>
      <c r="B426" s="2">
        <f>IFERROR(__xludf.DUMMYFUNCTION("""COMPUTED_VALUE"""),151.09)</f>
        <v>151.09</v>
      </c>
      <c r="C426" s="2">
        <f>IFERROR(__xludf.DUMMYFUNCTION("""COMPUTED_VALUE"""),152.48)</f>
        <v>152.48</v>
      </c>
      <c r="D426" s="2">
        <f>IFERROR(__xludf.DUMMYFUNCTION("""COMPUTED_VALUE"""),148.7)</f>
        <v>148.7</v>
      </c>
      <c r="E426" s="2">
        <f>IFERROR(__xludf.DUMMYFUNCTION("""COMPUTED_VALUE"""),152.15)</f>
        <v>152.15</v>
      </c>
      <c r="F426" s="2">
        <f>IFERROR(__xludf.DUMMYFUNCTION("""COMPUTED_VALUE"""),1.8991486E7)</f>
        <v>18991486</v>
      </c>
    </row>
    <row r="427">
      <c r="A427" s="3">
        <f>IFERROR(__xludf.DUMMYFUNCTION("""COMPUTED_VALUE"""),45547.66666666667)</f>
        <v>45547.66667</v>
      </c>
      <c r="B427" s="2">
        <f>IFERROR(__xludf.DUMMYFUNCTION("""COMPUTED_VALUE"""),154.81)</f>
        <v>154.81</v>
      </c>
      <c r="C427" s="2">
        <f>IFERROR(__xludf.DUMMYFUNCTION("""COMPUTED_VALUE"""),155.61)</f>
        <v>155.61</v>
      </c>
      <c r="D427" s="2">
        <f>IFERROR(__xludf.DUMMYFUNCTION("""COMPUTED_VALUE"""),153.5)</f>
        <v>153.5</v>
      </c>
      <c r="E427" s="2">
        <f>IFERROR(__xludf.DUMMYFUNCTION("""COMPUTED_VALUE"""),155.54)</f>
        <v>155.54</v>
      </c>
      <c r="F427" s="2">
        <f>IFERROR(__xludf.DUMMYFUNCTION("""COMPUTED_VALUE"""),2.1024062E7)</f>
        <v>21024062</v>
      </c>
    </row>
    <row r="428">
      <c r="A428" s="3">
        <f>IFERROR(__xludf.DUMMYFUNCTION("""COMPUTED_VALUE"""),45548.66666666667)</f>
        <v>45548.66667</v>
      </c>
      <c r="B428" s="2">
        <f>IFERROR(__xludf.DUMMYFUNCTION("""COMPUTED_VALUE"""),156.36)</f>
        <v>156.36</v>
      </c>
      <c r="C428" s="2">
        <f>IFERROR(__xludf.DUMMYFUNCTION("""COMPUTED_VALUE"""),159.28)</f>
        <v>159.28</v>
      </c>
      <c r="D428" s="2">
        <f>IFERROR(__xludf.DUMMYFUNCTION("""COMPUTED_VALUE"""),156.11)</f>
        <v>156.11</v>
      </c>
      <c r="E428" s="2">
        <f>IFERROR(__xludf.DUMMYFUNCTION("""COMPUTED_VALUE"""),158.37)</f>
        <v>158.37</v>
      </c>
      <c r="F428" s="2">
        <f>IFERROR(__xludf.DUMMYFUNCTION("""COMPUTED_VALUE"""),1.6733908E7)</f>
        <v>16733908</v>
      </c>
    </row>
    <row r="429">
      <c r="A429" s="3">
        <f>IFERROR(__xludf.DUMMYFUNCTION("""COMPUTED_VALUE"""),45551.66666666667)</f>
        <v>45551.66667</v>
      </c>
      <c r="B429" s="2">
        <f>IFERROR(__xludf.DUMMYFUNCTION("""COMPUTED_VALUE"""),158.33)</f>
        <v>158.33</v>
      </c>
      <c r="C429" s="2">
        <f>IFERROR(__xludf.DUMMYFUNCTION("""COMPUTED_VALUE"""),159.24)</f>
        <v>159.24</v>
      </c>
      <c r="D429" s="2">
        <f>IFERROR(__xludf.DUMMYFUNCTION("""COMPUTED_VALUE"""),157.61)</f>
        <v>157.61</v>
      </c>
      <c r="E429" s="2">
        <f>IFERROR(__xludf.DUMMYFUNCTION("""COMPUTED_VALUE"""),158.99)</f>
        <v>158.99</v>
      </c>
      <c r="F429" s="2">
        <f>IFERROR(__xludf.DUMMYFUNCTION("""COMPUTED_VALUE"""),1.4157614E7)</f>
        <v>14157614</v>
      </c>
    </row>
    <row r="430">
      <c r="A430" s="3">
        <f>IFERROR(__xludf.DUMMYFUNCTION("""COMPUTED_VALUE"""),45552.66666666667)</f>
        <v>45552.66667</v>
      </c>
      <c r="B430" s="2">
        <f>IFERROR(__xludf.DUMMYFUNCTION("""COMPUTED_VALUE"""),160.09)</f>
        <v>160.09</v>
      </c>
      <c r="C430" s="2">
        <f>IFERROR(__xludf.DUMMYFUNCTION("""COMPUTED_VALUE"""),161.59)</f>
        <v>161.59</v>
      </c>
      <c r="D430" s="2">
        <f>IFERROR(__xludf.DUMMYFUNCTION("""COMPUTED_VALUE"""),159.41)</f>
        <v>159.41</v>
      </c>
      <c r="E430" s="2">
        <f>IFERROR(__xludf.DUMMYFUNCTION("""COMPUTED_VALUE"""),160.28)</f>
        <v>160.28</v>
      </c>
      <c r="F430" s="2">
        <f>IFERROR(__xludf.DUMMYFUNCTION("""COMPUTED_VALUE"""),1.206479E7)</f>
        <v>12064790</v>
      </c>
    </row>
    <row r="431">
      <c r="A431" s="3">
        <f>IFERROR(__xludf.DUMMYFUNCTION("""COMPUTED_VALUE"""),45553.66666666667)</f>
        <v>45553.66667</v>
      </c>
      <c r="B431" s="2">
        <f>IFERROR(__xludf.DUMMYFUNCTION("""COMPUTED_VALUE"""),160.85)</f>
        <v>160.85</v>
      </c>
      <c r="C431" s="2">
        <f>IFERROR(__xludf.DUMMYFUNCTION("""COMPUTED_VALUE"""),161.63)</f>
        <v>161.63</v>
      </c>
      <c r="D431" s="2">
        <f>IFERROR(__xludf.DUMMYFUNCTION("""COMPUTED_VALUE"""),159.66)</f>
        <v>159.66</v>
      </c>
      <c r="E431" s="2">
        <f>IFERROR(__xludf.DUMMYFUNCTION("""COMPUTED_VALUE"""),160.81)</f>
        <v>160.81</v>
      </c>
      <c r="F431" s="2">
        <f>IFERROR(__xludf.DUMMYFUNCTION("""COMPUTED_VALUE"""),1.675645E7)</f>
        <v>16756450</v>
      </c>
    </row>
    <row r="432">
      <c r="A432" s="3">
        <f>IFERROR(__xludf.DUMMYFUNCTION("""COMPUTED_VALUE"""),45554.66666666667)</f>
        <v>45554.66667</v>
      </c>
      <c r="B432" s="2">
        <f>IFERROR(__xludf.DUMMYFUNCTION("""COMPUTED_VALUE"""),164.82)</f>
        <v>164.82</v>
      </c>
      <c r="C432" s="2">
        <f>IFERROR(__xludf.DUMMYFUNCTION("""COMPUTED_VALUE"""),164.99)</f>
        <v>164.99</v>
      </c>
      <c r="D432" s="2">
        <f>IFERROR(__xludf.DUMMYFUNCTION("""COMPUTED_VALUE"""),162.52)</f>
        <v>162.52</v>
      </c>
      <c r="E432" s="2">
        <f>IFERROR(__xludf.DUMMYFUNCTION("""COMPUTED_VALUE"""),163.24)</f>
        <v>163.24</v>
      </c>
      <c r="F432" s="2">
        <f>IFERROR(__xludf.DUMMYFUNCTION("""COMPUTED_VALUE"""),1.754819E7)</f>
        <v>17548190</v>
      </c>
    </row>
    <row r="433">
      <c r="A433" s="3">
        <f>IFERROR(__xludf.DUMMYFUNCTION("""COMPUTED_VALUE"""),45555.66666666667)</f>
        <v>45555.66667</v>
      </c>
      <c r="B433" s="2">
        <f>IFERROR(__xludf.DUMMYFUNCTION("""COMPUTED_VALUE"""),164.52)</f>
        <v>164.52</v>
      </c>
      <c r="C433" s="2">
        <f>IFERROR(__xludf.DUMMYFUNCTION("""COMPUTED_VALUE"""),164.75)</f>
        <v>164.75</v>
      </c>
      <c r="D433" s="2">
        <f>IFERROR(__xludf.DUMMYFUNCTION("""COMPUTED_VALUE"""),163.18)</f>
        <v>163.18</v>
      </c>
      <c r="E433" s="2">
        <f>IFERROR(__xludf.DUMMYFUNCTION("""COMPUTED_VALUE"""),164.64)</f>
        <v>164.64</v>
      </c>
      <c r="F433" s="2">
        <f>IFERROR(__xludf.DUMMYFUNCTION("""COMPUTED_VALUE"""),4.6362673E7)</f>
        <v>46362673</v>
      </c>
    </row>
    <row r="434">
      <c r="A434" s="3">
        <f>IFERROR(__xludf.DUMMYFUNCTION("""COMPUTED_VALUE"""),45558.66666666667)</f>
        <v>45558.66667</v>
      </c>
      <c r="B434" s="2">
        <f>IFERROR(__xludf.DUMMYFUNCTION("""COMPUTED_VALUE"""),165.34)</f>
        <v>165.34</v>
      </c>
      <c r="C434" s="2">
        <f>IFERROR(__xludf.DUMMYFUNCTION("""COMPUTED_VALUE"""),166.61)</f>
        <v>166.61</v>
      </c>
      <c r="D434" s="2">
        <f>IFERROR(__xludf.DUMMYFUNCTION("""COMPUTED_VALUE"""),162.95)</f>
        <v>162.95</v>
      </c>
      <c r="E434" s="2">
        <f>IFERROR(__xludf.DUMMYFUNCTION("""COMPUTED_VALUE"""),163.07)</f>
        <v>163.07</v>
      </c>
      <c r="F434" s="2">
        <f>IFERROR(__xludf.DUMMYFUNCTION("""COMPUTED_VALUE"""),1.5648446E7)</f>
        <v>15648446</v>
      </c>
    </row>
    <row r="435">
      <c r="A435" s="3">
        <f>IFERROR(__xludf.DUMMYFUNCTION("""COMPUTED_VALUE"""),45559.66666666667)</f>
        <v>45559.66667</v>
      </c>
      <c r="B435" s="2">
        <f>IFERROR(__xludf.DUMMYFUNCTION("""COMPUTED_VALUE"""),164.25)</f>
        <v>164.25</v>
      </c>
      <c r="C435" s="2">
        <f>IFERROR(__xludf.DUMMYFUNCTION("""COMPUTED_VALUE"""),164.55)</f>
        <v>164.55</v>
      </c>
      <c r="D435" s="2">
        <f>IFERROR(__xludf.DUMMYFUNCTION("""COMPUTED_VALUE"""),162.03)</f>
        <v>162.03</v>
      </c>
      <c r="E435" s="2">
        <f>IFERROR(__xludf.DUMMYFUNCTION("""COMPUTED_VALUE"""),163.64)</f>
        <v>163.64</v>
      </c>
      <c r="F435" s="2">
        <f>IFERROR(__xludf.DUMMYFUNCTION("""COMPUTED_VALUE"""),1.8774056E7)</f>
        <v>18774056</v>
      </c>
    </row>
    <row r="436">
      <c r="A436" s="3">
        <f>IFERROR(__xludf.DUMMYFUNCTION("""COMPUTED_VALUE"""),45560.66666666667)</f>
        <v>45560.66667</v>
      </c>
      <c r="B436" s="2">
        <f>IFERROR(__xludf.DUMMYFUNCTION("""COMPUTED_VALUE"""),162.97)</f>
        <v>162.97</v>
      </c>
      <c r="C436" s="2">
        <f>IFERROR(__xludf.DUMMYFUNCTION("""COMPUTED_VALUE"""),164.22)</f>
        <v>164.22</v>
      </c>
      <c r="D436" s="2">
        <f>IFERROR(__xludf.DUMMYFUNCTION("""COMPUTED_VALUE"""),162.78)</f>
        <v>162.78</v>
      </c>
      <c r="E436" s="2">
        <f>IFERROR(__xludf.DUMMYFUNCTION("""COMPUTED_VALUE"""),162.99)</f>
        <v>162.99</v>
      </c>
      <c r="F436" s="2">
        <f>IFERROR(__xludf.DUMMYFUNCTION("""COMPUTED_VALUE"""),1.3607892E7)</f>
        <v>13607892</v>
      </c>
    </row>
    <row r="437">
      <c r="A437" s="3">
        <f>IFERROR(__xludf.DUMMYFUNCTION("""COMPUTED_VALUE"""),45561.66666666667)</f>
        <v>45561.66667</v>
      </c>
      <c r="B437" s="2">
        <f>IFERROR(__xludf.DUMMYFUNCTION("""COMPUTED_VALUE"""),165.03)</f>
        <v>165.03</v>
      </c>
      <c r="C437" s="2">
        <f>IFERROR(__xludf.DUMMYFUNCTION("""COMPUTED_VALUE"""),165.5)</f>
        <v>165.5</v>
      </c>
      <c r="D437" s="2">
        <f>IFERROR(__xludf.DUMMYFUNCTION("""COMPUTED_VALUE"""),163.5)</f>
        <v>163.5</v>
      </c>
      <c r="E437" s="2">
        <f>IFERROR(__xludf.DUMMYFUNCTION("""COMPUTED_VALUE"""),163.83)</f>
        <v>163.83</v>
      </c>
      <c r="F437" s="2">
        <f>IFERROR(__xludf.DUMMYFUNCTION("""COMPUTED_VALUE"""),1.8234497E7)</f>
        <v>18234497</v>
      </c>
    </row>
    <row r="438">
      <c r="A438" s="3">
        <f>IFERROR(__xludf.DUMMYFUNCTION("""COMPUTED_VALUE"""),45562.66666666667)</f>
        <v>45562.66667</v>
      </c>
      <c r="B438" s="2">
        <f>IFERROR(__xludf.DUMMYFUNCTION("""COMPUTED_VALUE"""),163.91)</f>
        <v>163.91</v>
      </c>
      <c r="C438" s="2">
        <f>IFERROR(__xludf.DUMMYFUNCTION("""COMPUTED_VALUE"""),166.97)</f>
        <v>166.97</v>
      </c>
      <c r="D438" s="2">
        <f>IFERROR(__xludf.DUMMYFUNCTION("""COMPUTED_VALUE"""),163.83)</f>
        <v>163.83</v>
      </c>
      <c r="E438" s="2">
        <f>IFERROR(__xludf.DUMMYFUNCTION("""COMPUTED_VALUE"""),165.29)</f>
        <v>165.29</v>
      </c>
      <c r="F438" s="2">
        <f>IFERROR(__xludf.DUMMYFUNCTION("""COMPUTED_VALUE"""),1.3604261E7)</f>
        <v>13604261</v>
      </c>
    </row>
    <row r="439">
      <c r="A439" s="3">
        <f>IFERROR(__xludf.DUMMYFUNCTION("""COMPUTED_VALUE"""),45565.66666666667)</f>
        <v>45565.66667</v>
      </c>
      <c r="B439" s="2">
        <f>IFERROR(__xludf.DUMMYFUNCTION("""COMPUTED_VALUE"""),164.78)</f>
        <v>164.78</v>
      </c>
      <c r="C439" s="2">
        <f>IFERROR(__xludf.DUMMYFUNCTION("""COMPUTED_VALUE"""),167.36)</f>
        <v>167.36</v>
      </c>
      <c r="D439" s="2">
        <f>IFERROR(__xludf.DUMMYFUNCTION("""COMPUTED_VALUE"""),164.64)</f>
        <v>164.64</v>
      </c>
      <c r="E439" s="2">
        <f>IFERROR(__xludf.DUMMYFUNCTION("""COMPUTED_VALUE"""),167.19)</f>
        <v>167.19</v>
      </c>
      <c r="F439" s="2">
        <f>IFERROR(__xludf.DUMMYFUNCTION("""COMPUTED_VALUE"""),1.4083451E7)</f>
        <v>14083451</v>
      </c>
    </row>
    <row r="440">
      <c r="A440" s="3">
        <f>IFERROR(__xludf.DUMMYFUNCTION("""COMPUTED_VALUE"""),45566.66666666667)</f>
        <v>45566.66667</v>
      </c>
      <c r="B440" s="2">
        <f>IFERROR(__xludf.DUMMYFUNCTION("""COMPUTED_VALUE"""),168.86)</f>
        <v>168.86</v>
      </c>
      <c r="C440" s="2">
        <f>IFERROR(__xludf.DUMMYFUNCTION("""COMPUTED_VALUE"""),170.44)</f>
        <v>170.44</v>
      </c>
      <c r="D440" s="2">
        <f>IFERROR(__xludf.DUMMYFUNCTION("""COMPUTED_VALUE"""),165.9)</f>
        <v>165.9</v>
      </c>
      <c r="E440" s="2">
        <f>IFERROR(__xludf.DUMMYFUNCTION("""COMPUTED_VALUE"""),168.42)</f>
        <v>168.42</v>
      </c>
      <c r="F440" s="2">
        <f>IFERROR(__xludf.DUMMYFUNCTION("""COMPUTED_VALUE"""),1.8629506E7)</f>
        <v>18629506</v>
      </c>
    </row>
    <row r="441">
      <c r="A441" s="3">
        <f>IFERROR(__xludf.DUMMYFUNCTION("""COMPUTED_VALUE"""),45567.66666666667)</f>
        <v>45567.66667</v>
      </c>
      <c r="B441" s="2">
        <f>IFERROR(__xludf.DUMMYFUNCTION("""COMPUTED_VALUE"""),167.76)</f>
        <v>167.76</v>
      </c>
      <c r="C441" s="2">
        <f>IFERROR(__xludf.DUMMYFUNCTION("""COMPUTED_VALUE"""),168.88)</f>
        <v>168.88</v>
      </c>
      <c r="D441" s="2">
        <f>IFERROR(__xludf.DUMMYFUNCTION("""COMPUTED_VALUE"""),166.25)</f>
        <v>166.25</v>
      </c>
      <c r="E441" s="2">
        <f>IFERROR(__xludf.DUMMYFUNCTION("""COMPUTED_VALUE"""),167.31)</f>
        <v>167.31</v>
      </c>
      <c r="F441" s="2">
        <f>IFERROR(__xludf.DUMMYFUNCTION("""COMPUTED_VALUE"""),1.2744975E7)</f>
        <v>12744975</v>
      </c>
    </row>
    <row r="442">
      <c r="A442" s="3">
        <f>IFERROR(__xludf.DUMMYFUNCTION("""COMPUTED_VALUE"""),45568.66666666667)</f>
        <v>45568.66667</v>
      </c>
      <c r="B442" s="2">
        <f>IFERROR(__xludf.DUMMYFUNCTION("""COMPUTED_VALUE"""),165.82)</f>
        <v>165.82</v>
      </c>
      <c r="C442" s="2">
        <f>IFERROR(__xludf.DUMMYFUNCTION("""COMPUTED_VALUE"""),167.91)</f>
        <v>167.91</v>
      </c>
      <c r="D442" s="2">
        <f>IFERROR(__xludf.DUMMYFUNCTION("""COMPUTED_VALUE"""),165.37)</f>
        <v>165.37</v>
      </c>
      <c r="E442" s="2">
        <f>IFERROR(__xludf.DUMMYFUNCTION("""COMPUTED_VALUE"""),167.21)</f>
        <v>167.21</v>
      </c>
      <c r="F442" s="2">
        <f>IFERROR(__xludf.DUMMYFUNCTION("""COMPUTED_VALUE"""),1.1004333E7)</f>
        <v>11004333</v>
      </c>
    </row>
    <row r="443">
      <c r="A443" s="3">
        <f>IFERROR(__xludf.DUMMYFUNCTION("""COMPUTED_VALUE"""),45569.66666666667)</f>
        <v>45569.66667</v>
      </c>
      <c r="B443" s="2">
        <f>IFERROR(__xludf.DUMMYFUNCTION("""COMPUTED_VALUE"""),169.34)</f>
        <v>169.34</v>
      </c>
      <c r="C443" s="2">
        <f>IFERROR(__xludf.DUMMYFUNCTION("""COMPUTED_VALUE"""),169.55)</f>
        <v>169.55</v>
      </c>
      <c r="D443" s="2">
        <f>IFERROR(__xludf.DUMMYFUNCTION("""COMPUTED_VALUE"""),166.96)</f>
        <v>166.96</v>
      </c>
      <c r="E443" s="2">
        <f>IFERROR(__xludf.DUMMYFUNCTION("""COMPUTED_VALUE"""),168.56)</f>
        <v>168.56</v>
      </c>
      <c r="F443" s="2">
        <f>IFERROR(__xludf.DUMMYFUNCTION("""COMPUTED_VALUE"""),1.1435318E7)</f>
        <v>11435318</v>
      </c>
    </row>
    <row r="444">
      <c r="A444" s="3">
        <f>IFERROR(__xludf.DUMMYFUNCTION("""COMPUTED_VALUE"""),45572.66666666667)</f>
        <v>45572.66667</v>
      </c>
      <c r="B444" s="2">
        <f>IFERROR(__xludf.DUMMYFUNCTION("""COMPUTED_VALUE"""),169.14)</f>
        <v>169.14</v>
      </c>
      <c r="C444" s="2">
        <f>IFERROR(__xludf.DUMMYFUNCTION("""COMPUTED_VALUE"""),169.9)</f>
        <v>169.9</v>
      </c>
      <c r="D444" s="2">
        <f>IFERROR(__xludf.DUMMYFUNCTION("""COMPUTED_VALUE"""),164.13)</f>
        <v>164.13</v>
      </c>
      <c r="E444" s="2">
        <f>IFERROR(__xludf.DUMMYFUNCTION("""COMPUTED_VALUE"""),164.39)</f>
        <v>164.39</v>
      </c>
      <c r="F444" s="2">
        <f>IFERROR(__xludf.DUMMYFUNCTION("""COMPUTED_VALUE"""),1.4034722E7)</f>
        <v>14034722</v>
      </c>
    </row>
    <row r="445">
      <c r="A445" s="3">
        <f>IFERROR(__xludf.DUMMYFUNCTION("""COMPUTED_VALUE"""),45573.66666666667)</f>
        <v>45573.66667</v>
      </c>
      <c r="B445" s="2">
        <f>IFERROR(__xludf.DUMMYFUNCTION("""COMPUTED_VALUE"""),165.43)</f>
        <v>165.43</v>
      </c>
      <c r="C445" s="2">
        <f>IFERROR(__xludf.DUMMYFUNCTION("""COMPUTED_VALUE"""),166.1)</f>
        <v>166.1</v>
      </c>
      <c r="D445" s="2">
        <f>IFERROR(__xludf.DUMMYFUNCTION("""COMPUTED_VALUE"""),164.31)</f>
        <v>164.31</v>
      </c>
      <c r="E445" s="2">
        <f>IFERROR(__xludf.DUMMYFUNCTION("""COMPUTED_VALUE"""),165.7)</f>
        <v>165.7</v>
      </c>
      <c r="F445" s="2">
        <f>IFERROR(__xludf.DUMMYFUNCTION("""COMPUTED_VALUE"""),1.1723885E7)</f>
        <v>11723885</v>
      </c>
    </row>
    <row r="446">
      <c r="A446" s="3">
        <f>IFERROR(__xludf.DUMMYFUNCTION("""COMPUTED_VALUE"""),45574.66666666667)</f>
        <v>45574.66667</v>
      </c>
      <c r="B446" s="2">
        <f>IFERROR(__xludf.DUMMYFUNCTION("""COMPUTED_VALUE"""),164.86)</f>
        <v>164.86</v>
      </c>
      <c r="C446" s="2">
        <f>IFERROR(__xludf.DUMMYFUNCTION("""COMPUTED_VALUE"""),166.26)</f>
        <v>166.26</v>
      </c>
      <c r="D446" s="2">
        <f>IFERROR(__xludf.DUMMYFUNCTION("""COMPUTED_VALUE"""),161.12)</f>
        <v>161.12</v>
      </c>
      <c r="E446" s="2">
        <f>IFERROR(__xludf.DUMMYFUNCTION("""COMPUTED_VALUE"""),163.06)</f>
        <v>163.06</v>
      </c>
      <c r="F446" s="2">
        <f>IFERROR(__xludf.DUMMYFUNCTION("""COMPUTED_VALUE"""),1.9666411E7)</f>
        <v>19666411</v>
      </c>
    </row>
    <row r="447">
      <c r="A447" s="3">
        <f>IFERROR(__xludf.DUMMYFUNCTION("""COMPUTED_VALUE"""),45575.66666666667)</f>
        <v>45575.66667</v>
      </c>
      <c r="B447" s="2">
        <f>IFERROR(__xludf.DUMMYFUNCTION("""COMPUTED_VALUE"""),162.11)</f>
        <v>162.11</v>
      </c>
      <c r="C447" s="2">
        <f>IFERROR(__xludf.DUMMYFUNCTION("""COMPUTED_VALUE"""),164.31)</f>
        <v>164.31</v>
      </c>
      <c r="D447" s="2">
        <f>IFERROR(__xludf.DUMMYFUNCTION("""COMPUTED_VALUE"""),161.64)</f>
        <v>161.64</v>
      </c>
      <c r="E447" s="2">
        <f>IFERROR(__xludf.DUMMYFUNCTION("""COMPUTED_VALUE"""),163.18)</f>
        <v>163.18</v>
      </c>
      <c r="F447" s="2">
        <f>IFERROR(__xludf.DUMMYFUNCTION("""COMPUTED_VALUE"""),1.2900492E7)</f>
        <v>12900492</v>
      </c>
    </row>
    <row r="448">
      <c r="A448" s="3">
        <f>IFERROR(__xludf.DUMMYFUNCTION("""COMPUTED_VALUE"""),45576.66666666667)</f>
        <v>45576.66667</v>
      </c>
      <c r="B448" s="2">
        <f>IFERROR(__xludf.DUMMYFUNCTION("""COMPUTED_VALUE"""),163.33)</f>
        <v>163.33</v>
      </c>
      <c r="C448" s="2">
        <f>IFERROR(__xludf.DUMMYFUNCTION("""COMPUTED_VALUE"""),165.27)</f>
        <v>165.27</v>
      </c>
      <c r="D448" s="2">
        <f>IFERROR(__xludf.DUMMYFUNCTION("""COMPUTED_VALUE"""),162.5)</f>
        <v>162.5</v>
      </c>
      <c r="E448" s="2">
        <f>IFERROR(__xludf.DUMMYFUNCTION("""COMPUTED_VALUE"""),164.52)</f>
        <v>164.52</v>
      </c>
      <c r="F448" s="2">
        <f>IFERROR(__xludf.DUMMYFUNCTION("""COMPUTED_VALUE"""),1.0945971E7)</f>
        <v>10945971</v>
      </c>
    </row>
    <row r="449">
      <c r="A449" s="3">
        <f>IFERROR(__xludf.DUMMYFUNCTION("""COMPUTED_VALUE"""),45579.66666666667)</f>
        <v>45579.66667</v>
      </c>
      <c r="B449" s="2">
        <f>IFERROR(__xludf.DUMMYFUNCTION("""COMPUTED_VALUE"""),164.91)</f>
        <v>164.91</v>
      </c>
      <c r="C449" s="2">
        <f>IFERROR(__xludf.DUMMYFUNCTION("""COMPUTED_VALUE"""),167.62)</f>
        <v>167.62</v>
      </c>
      <c r="D449" s="2">
        <f>IFERROR(__xludf.DUMMYFUNCTION("""COMPUTED_VALUE"""),164.78)</f>
        <v>164.78</v>
      </c>
      <c r="E449" s="2">
        <f>IFERROR(__xludf.DUMMYFUNCTION("""COMPUTED_VALUE"""),166.35)</f>
        <v>166.35</v>
      </c>
      <c r="F449" s="2">
        <f>IFERROR(__xludf.DUMMYFUNCTION("""COMPUTED_VALUE"""),9981765.0)</f>
        <v>9981765</v>
      </c>
    </row>
    <row r="450">
      <c r="A450" s="3">
        <f>IFERROR(__xludf.DUMMYFUNCTION("""COMPUTED_VALUE"""),45580.66666666667)</f>
        <v>45580.66667</v>
      </c>
      <c r="B450" s="2">
        <f>IFERROR(__xludf.DUMMYFUNCTION("""COMPUTED_VALUE"""),167.14)</f>
        <v>167.14</v>
      </c>
      <c r="C450" s="2">
        <f>IFERROR(__xludf.DUMMYFUNCTION("""COMPUTED_VALUE"""),169.09)</f>
        <v>169.09</v>
      </c>
      <c r="D450" s="2">
        <f>IFERROR(__xludf.DUMMYFUNCTION("""COMPUTED_VALUE"""),166.05)</f>
        <v>166.05</v>
      </c>
      <c r="E450" s="2">
        <f>IFERROR(__xludf.DUMMYFUNCTION("""COMPUTED_VALUE"""),166.9)</f>
        <v>166.9</v>
      </c>
      <c r="F450" s="2">
        <f>IFERROR(__xludf.DUMMYFUNCTION("""COMPUTED_VALUE"""),1.4829338E7)</f>
        <v>14829338</v>
      </c>
    </row>
    <row r="451">
      <c r="A451" s="3">
        <f>IFERROR(__xludf.DUMMYFUNCTION("""COMPUTED_VALUE"""),45581.66666666667)</f>
        <v>45581.66667</v>
      </c>
      <c r="B451" s="2">
        <f>IFERROR(__xludf.DUMMYFUNCTION("""COMPUTED_VALUE"""),166.03)</f>
        <v>166.03</v>
      </c>
      <c r="C451" s="2">
        <f>IFERROR(__xludf.DUMMYFUNCTION("""COMPUTED_VALUE"""),167.28)</f>
        <v>167.28</v>
      </c>
      <c r="D451" s="2">
        <f>IFERROR(__xludf.DUMMYFUNCTION("""COMPUTED_VALUE"""),165.22)</f>
        <v>165.22</v>
      </c>
      <c r="E451" s="2">
        <f>IFERROR(__xludf.DUMMYFUNCTION("""COMPUTED_VALUE"""),166.74)</f>
        <v>166.74</v>
      </c>
      <c r="F451" s="2">
        <f>IFERROR(__xludf.DUMMYFUNCTION("""COMPUTED_VALUE"""),9968474.0)</f>
        <v>9968474</v>
      </c>
    </row>
    <row r="452">
      <c r="A452" s="3">
        <f>IFERROR(__xludf.DUMMYFUNCTION("""COMPUTED_VALUE"""),45582.66666666667)</f>
        <v>45582.66667</v>
      </c>
      <c r="B452" s="2">
        <f>IFERROR(__xludf.DUMMYFUNCTION("""COMPUTED_VALUE"""),167.38)</f>
        <v>167.38</v>
      </c>
      <c r="C452" s="2">
        <f>IFERROR(__xludf.DUMMYFUNCTION("""COMPUTED_VALUE"""),167.93)</f>
        <v>167.93</v>
      </c>
      <c r="D452" s="2">
        <f>IFERROR(__xludf.DUMMYFUNCTION("""COMPUTED_VALUE"""),164.37)</f>
        <v>164.37</v>
      </c>
      <c r="E452" s="2">
        <f>IFERROR(__xludf.DUMMYFUNCTION("""COMPUTED_VALUE"""),164.51)</f>
        <v>164.51</v>
      </c>
      <c r="F452" s="2">
        <f>IFERROR(__xludf.DUMMYFUNCTION("""COMPUTED_VALUE"""),1.5113356E7)</f>
        <v>15113356</v>
      </c>
    </row>
    <row r="453">
      <c r="A453" s="3">
        <f>IFERROR(__xludf.DUMMYFUNCTION("""COMPUTED_VALUE"""),45583.66666666667)</f>
        <v>45583.66667</v>
      </c>
      <c r="B453" s="2">
        <f>IFERROR(__xludf.DUMMYFUNCTION("""COMPUTED_VALUE"""),164.87)</f>
        <v>164.87</v>
      </c>
      <c r="C453" s="2">
        <f>IFERROR(__xludf.DUMMYFUNCTION("""COMPUTED_VALUE"""),166.37)</f>
        <v>166.37</v>
      </c>
      <c r="D453" s="2">
        <f>IFERROR(__xludf.DUMMYFUNCTION("""COMPUTED_VALUE"""),164.75)</f>
        <v>164.75</v>
      </c>
      <c r="E453" s="2">
        <f>IFERROR(__xludf.DUMMYFUNCTION("""COMPUTED_VALUE"""),165.05)</f>
        <v>165.05</v>
      </c>
      <c r="F453" s="2">
        <f>IFERROR(__xludf.DUMMYFUNCTION("""COMPUTED_VALUE"""),1.3091267E7)</f>
        <v>13091267</v>
      </c>
    </row>
    <row r="454">
      <c r="A454" s="3">
        <f>IFERROR(__xludf.DUMMYFUNCTION("""COMPUTED_VALUE"""),45586.66666666667)</f>
        <v>45586.66667</v>
      </c>
      <c r="B454" s="2">
        <f>IFERROR(__xludf.DUMMYFUNCTION("""COMPUTED_VALUE"""),164.58)</f>
        <v>164.58</v>
      </c>
      <c r="C454" s="2">
        <f>IFERROR(__xludf.DUMMYFUNCTION("""COMPUTED_VALUE"""),166.22)</f>
        <v>166.22</v>
      </c>
      <c r="D454" s="2">
        <f>IFERROR(__xludf.DUMMYFUNCTION("""COMPUTED_VALUE"""),164.31)</f>
        <v>164.31</v>
      </c>
      <c r="E454" s="2">
        <f>IFERROR(__xludf.DUMMYFUNCTION("""COMPUTED_VALUE"""),165.8)</f>
        <v>165.8</v>
      </c>
      <c r="F454" s="2">
        <f>IFERROR(__xludf.DUMMYFUNCTION("""COMPUTED_VALUE"""),1.1384047E7)</f>
        <v>11384047</v>
      </c>
    </row>
    <row r="455">
      <c r="A455" s="3">
        <f>IFERROR(__xludf.DUMMYFUNCTION("""COMPUTED_VALUE"""),45587.66666666667)</f>
        <v>45587.66667</v>
      </c>
      <c r="B455" s="2">
        <f>IFERROR(__xludf.DUMMYFUNCTION("""COMPUTED_VALUE"""),164.7)</f>
        <v>164.7</v>
      </c>
      <c r="C455" s="2">
        <f>IFERROR(__xludf.DUMMYFUNCTION("""COMPUTED_VALUE"""),167.47)</f>
        <v>167.47</v>
      </c>
      <c r="D455" s="2">
        <f>IFERROR(__xludf.DUMMYFUNCTION("""COMPUTED_VALUE"""),164.67)</f>
        <v>164.67</v>
      </c>
      <c r="E455" s="2">
        <f>IFERROR(__xludf.DUMMYFUNCTION("""COMPUTED_VALUE"""),166.82)</f>
        <v>166.82</v>
      </c>
      <c r="F455" s="2">
        <f>IFERROR(__xludf.DUMMYFUNCTION("""COMPUTED_VALUE"""),1.1958617E7)</f>
        <v>11958617</v>
      </c>
    </row>
    <row r="456">
      <c r="A456" s="3">
        <f>IFERROR(__xludf.DUMMYFUNCTION("""COMPUTED_VALUE"""),45588.66666666667)</f>
        <v>45588.66667</v>
      </c>
      <c r="B456" s="2">
        <f>IFERROR(__xludf.DUMMYFUNCTION("""COMPUTED_VALUE"""),166.43)</f>
        <v>166.43</v>
      </c>
      <c r="C456" s="2">
        <f>IFERROR(__xludf.DUMMYFUNCTION("""COMPUTED_VALUE"""),167.6)</f>
        <v>167.6</v>
      </c>
      <c r="D456" s="2">
        <f>IFERROR(__xludf.DUMMYFUNCTION("""COMPUTED_VALUE"""),163.63)</f>
        <v>163.63</v>
      </c>
      <c r="E456" s="2">
        <f>IFERROR(__xludf.DUMMYFUNCTION("""COMPUTED_VALUE"""),164.48)</f>
        <v>164.48</v>
      </c>
      <c r="F456" s="2">
        <f>IFERROR(__xludf.DUMMYFUNCTION("""COMPUTED_VALUE"""),1.2754283E7)</f>
        <v>12754283</v>
      </c>
    </row>
    <row r="457">
      <c r="A457" s="3">
        <f>IFERROR(__xludf.DUMMYFUNCTION("""COMPUTED_VALUE"""),45589.66666666667)</f>
        <v>45589.66667</v>
      </c>
      <c r="B457" s="2">
        <f>IFERROR(__xludf.DUMMYFUNCTION("""COMPUTED_VALUE"""),164.59)</f>
        <v>164.59</v>
      </c>
      <c r="C457" s="2">
        <f>IFERROR(__xludf.DUMMYFUNCTION("""COMPUTED_VALUE"""),165.05)</f>
        <v>165.05</v>
      </c>
      <c r="D457" s="2">
        <f>IFERROR(__xludf.DUMMYFUNCTION("""COMPUTED_VALUE"""),162.77)</f>
        <v>162.77</v>
      </c>
      <c r="E457" s="2">
        <f>IFERROR(__xludf.DUMMYFUNCTION("""COMPUTED_VALUE"""),164.53)</f>
        <v>164.53</v>
      </c>
      <c r="F457" s="2">
        <f>IFERROR(__xludf.DUMMYFUNCTION("""COMPUTED_VALUE"""),1.276443E7)</f>
        <v>12764430</v>
      </c>
    </row>
    <row r="458">
      <c r="A458" s="3">
        <f>IFERROR(__xludf.DUMMYFUNCTION("""COMPUTED_VALUE"""),45590.66666666667)</f>
        <v>45590.66667</v>
      </c>
      <c r="B458" s="2">
        <f>IFERROR(__xludf.DUMMYFUNCTION("""COMPUTED_VALUE"""),165.37)</f>
        <v>165.37</v>
      </c>
      <c r="C458" s="2">
        <f>IFERROR(__xludf.DUMMYFUNCTION("""COMPUTED_VALUE"""),167.4)</f>
        <v>167.4</v>
      </c>
      <c r="D458" s="2">
        <f>IFERROR(__xludf.DUMMYFUNCTION("""COMPUTED_VALUE"""),165.23)</f>
        <v>165.23</v>
      </c>
      <c r="E458" s="2">
        <f>IFERROR(__xludf.DUMMYFUNCTION("""COMPUTED_VALUE"""),166.99)</f>
        <v>166.99</v>
      </c>
      <c r="F458" s="2">
        <f>IFERROR(__xludf.DUMMYFUNCTION("""COMPUTED_VALUE"""),1.456641E7)</f>
        <v>14566410</v>
      </c>
    </row>
    <row r="459">
      <c r="A459" s="3">
        <f>IFERROR(__xludf.DUMMYFUNCTION("""COMPUTED_VALUE"""),45593.66666666667)</f>
        <v>45593.66667</v>
      </c>
      <c r="B459" s="2">
        <f>IFERROR(__xludf.DUMMYFUNCTION("""COMPUTED_VALUE"""),170.59)</f>
        <v>170.59</v>
      </c>
      <c r="C459" s="2">
        <f>IFERROR(__xludf.DUMMYFUNCTION("""COMPUTED_VALUE"""),170.61)</f>
        <v>170.61</v>
      </c>
      <c r="D459" s="2">
        <f>IFERROR(__xludf.DUMMYFUNCTION("""COMPUTED_VALUE"""),165.79)</f>
        <v>165.79</v>
      </c>
      <c r="E459" s="2">
        <f>IFERROR(__xludf.DUMMYFUNCTION("""COMPUTED_VALUE"""),168.34)</f>
        <v>168.34</v>
      </c>
      <c r="F459" s="2">
        <f>IFERROR(__xludf.DUMMYFUNCTION("""COMPUTED_VALUE"""),2.0858254E7)</f>
        <v>20858254</v>
      </c>
    </row>
    <row r="460">
      <c r="A460" s="3">
        <f>IFERROR(__xludf.DUMMYFUNCTION("""COMPUTED_VALUE"""),45594.66666666667)</f>
        <v>45594.66667</v>
      </c>
      <c r="B460" s="2">
        <f>IFERROR(__xludf.DUMMYFUNCTION("""COMPUTED_VALUE"""),169.39)</f>
        <v>169.39</v>
      </c>
      <c r="C460" s="2">
        <f>IFERROR(__xludf.DUMMYFUNCTION("""COMPUTED_VALUE"""),171.86)</f>
        <v>171.86</v>
      </c>
      <c r="D460" s="2">
        <f>IFERROR(__xludf.DUMMYFUNCTION("""COMPUTED_VALUE"""),168.66)</f>
        <v>168.66</v>
      </c>
      <c r="E460" s="2">
        <f>IFERROR(__xludf.DUMMYFUNCTION("""COMPUTED_VALUE"""),171.14)</f>
        <v>171.14</v>
      </c>
      <c r="F460" s="2">
        <f>IFERROR(__xludf.DUMMYFUNCTION("""COMPUTED_VALUE"""),2.8916106E7)</f>
        <v>28916106</v>
      </c>
    </row>
    <row r="461">
      <c r="A461" s="3">
        <f>IFERROR(__xludf.DUMMYFUNCTION("""COMPUTED_VALUE"""),45595.66666666667)</f>
        <v>45595.66667</v>
      </c>
      <c r="B461" s="2">
        <f>IFERROR(__xludf.DUMMYFUNCTION("""COMPUTED_VALUE"""),182.41)</f>
        <v>182.41</v>
      </c>
      <c r="C461" s="2">
        <f>IFERROR(__xludf.DUMMYFUNCTION("""COMPUTED_VALUE"""),183.79)</f>
        <v>183.79</v>
      </c>
      <c r="D461" s="2">
        <f>IFERROR(__xludf.DUMMYFUNCTION("""COMPUTED_VALUE"""),175.75)</f>
        <v>175.75</v>
      </c>
      <c r="E461" s="2">
        <f>IFERROR(__xludf.DUMMYFUNCTION("""COMPUTED_VALUE"""),176.14)</f>
        <v>176.14</v>
      </c>
      <c r="F461" s="2">
        <f>IFERROR(__xludf.DUMMYFUNCTION("""COMPUTED_VALUE"""),4.9698313E7)</f>
        <v>49698313</v>
      </c>
    </row>
    <row r="462">
      <c r="A462" s="3">
        <f>IFERROR(__xludf.DUMMYFUNCTION("""COMPUTED_VALUE"""),45596.66666666667)</f>
        <v>45596.66667</v>
      </c>
      <c r="B462" s="2">
        <f>IFERROR(__xludf.DUMMYFUNCTION("""COMPUTED_VALUE"""),174.72)</f>
        <v>174.72</v>
      </c>
      <c r="C462" s="2">
        <f>IFERROR(__xludf.DUMMYFUNCTION("""COMPUTED_VALUE"""),178.42)</f>
        <v>178.42</v>
      </c>
      <c r="D462" s="2">
        <f>IFERROR(__xludf.DUMMYFUNCTION("""COMPUTED_VALUE"""),172.56)</f>
        <v>172.56</v>
      </c>
      <c r="E462" s="2">
        <f>IFERROR(__xludf.DUMMYFUNCTION("""COMPUTED_VALUE"""),172.69)</f>
        <v>172.69</v>
      </c>
      <c r="F462" s="2">
        <f>IFERROR(__xludf.DUMMYFUNCTION("""COMPUTED_VALUE"""),3.2801898E7)</f>
        <v>32801898</v>
      </c>
    </row>
    <row r="463">
      <c r="A463" s="3">
        <f>IFERROR(__xludf.DUMMYFUNCTION("""COMPUTED_VALUE"""),45597.66666666667)</f>
        <v>45597.66667</v>
      </c>
      <c r="B463" s="2">
        <f>IFERROR(__xludf.DUMMYFUNCTION("""COMPUTED_VALUE"""),171.54)</f>
        <v>171.54</v>
      </c>
      <c r="C463" s="2">
        <f>IFERROR(__xludf.DUMMYFUNCTION("""COMPUTED_VALUE"""),173.82)</f>
        <v>173.82</v>
      </c>
      <c r="D463" s="2">
        <f>IFERROR(__xludf.DUMMYFUNCTION("""COMPUTED_VALUE"""),170.31)</f>
        <v>170.31</v>
      </c>
      <c r="E463" s="2">
        <f>IFERROR(__xludf.DUMMYFUNCTION("""COMPUTED_VALUE"""),172.65)</f>
        <v>172.65</v>
      </c>
      <c r="F463" s="2">
        <f>IFERROR(__xludf.DUMMYFUNCTION("""COMPUTED_VALUE"""),2.1752859E7)</f>
        <v>21752859</v>
      </c>
    </row>
    <row r="464">
      <c r="A464" s="3">
        <f>IFERROR(__xludf.DUMMYFUNCTION("""COMPUTED_VALUE"""),45600.66666666667)</f>
        <v>45600.66667</v>
      </c>
      <c r="B464" s="2">
        <f>IFERROR(__xludf.DUMMYFUNCTION("""COMPUTED_VALUE"""),171.24)</f>
        <v>171.24</v>
      </c>
      <c r="C464" s="2">
        <f>IFERROR(__xludf.DUMMYFUNCTION("""COMPUTED_VALUE"""),171.92)</f>
        <v>171.92</v>
      </c>
      <c r="D464" s="2">
        <f>IFERROR(__xludf.DUMMYFUNCTION("""COMPUTED_VALUE"""),169.49)</f>
        <v>169.49</v>
      </c>
      <c r="E464" s="2">
        <f>IFERROR(__xludf.DUMMYFUNCTION("""COMPUTED_VALUE"""),170.68)</f>
        <v>170.68</v>
      </c>
      <c r="F464" s="2">
        <f>IFERROR(__xludf.DUMMYFUNCTION("""COMPUTED_VALUE"""),1.6193994E7)</f>
        <v>16193994</v>
      </c>
    </row>
    <row r="465">
      <c r="A465" s="3">
        <f>IFERROR(__xludf.DUMMYFUNCTION("""COMPUTED_VALUE"""),45601.66666666667)</f>
        <v>45601.66667</v>
      </c>
      <c r="B465" s="2">
        <f>IFERROR(__xludf.DUMMYFUNCTION("""COMPUTED_VALUE"""),170.83)</f>
        <v>170.83</v>
      </c>
      <c r="C465" s="2">
        <f>IFERROR(__xludf.DUMMYFUNCTION("""COMPUTED_VALUE"""),172.1)</f>
        <v>172.1</v>
      </c>
      <c r="D465" s="2">
        <f>IFERROR(__xludf.DUMMYFUNCTION("""COMPUTED_VALUE"""),170.37)</f>
        <v>170.37</v>
      </c>
      <c r="E465" s="2">
        <f>IFERROR(__xludf.DUMMYFUNCTION("""COMPUTED_VALUE"""),171.41)</f>
        <v>171.41</v>
      </c>
      <c r="F465" s="2">
        <f>IFERROR(__xludf.DUMMYFUNCTION("""COMPUTED_VALUE"""),1.2518282E7)</f>
        <v>12518282</v>
      </c>
    </row>
    <row r="466">
      <c r="A466" s="3">
        <f>IFERROR(__xludf.DUMMYFUNCTION("""COMPUTED_VALUE"""),45602.66666666667)</f>
        <v>45602.66667</v>
      </c>
      <c r="B466" s="2">
        <f>IFERROR(__xludf.DUMMYFUNCTION("""COMPUTED_VALUE"""),175.35)</f>
        <v>175.35</v>
      </c>
      <c r="C466" s="2">
        <f>IFERROR(__xludf.DUMMYFUNCTION("""COMPUTED_VALUE"""),178.64)</f>
        <v>178.64</v>
      </c>
      <c r="D466" s="2">
        <f>IFERROR(__xludf.DUMMYFUNCTION("""COMPUTED_VALUE"""),175.04)</f>
        <v>175.04</v>
      </c>
      <c r="E466" s="2">
        <f>IFERROR(__xludf.DUMMYFUNCTION("""COMPUTED_VALUE"""),178.33)</f>
        <v>178.33</v>
      </c>
      <c r="F466" s="2">
        <f>IFERROR(__xludf.DUMMYFUNCTION("""COMPUTED_VALUE"""),2.706151E7)</f>
        <v>27061510</v>
      </c>
    </row>
    <row r="467">
      <c r="A467" s="3">
        <f>IFERROR(__xludf.DUMMYFUNCTION("""COMPUTED_VALUE"""),45603.66666666667)</f>
        <v>45603.66667</v>
      </c>
      <c r="B467" s="2">
        <f>IFERROR(__xludf.DUMMYFUNCTION("""COMPUTED_VALUE"""),179.11)</f>
        <v>179.11</v>
      </c>
      <c r="C467" s="2">
        <f>IFERROR(__xludf.DUMMYFUNCTION("""COMPUTED_VALUE"""),182.58)</f>
        <v>182.58</v>
      </c>
      <c r="D467" s="2">
        <f>IFERROR(__xludf.DUMMYFUNCTION("""COMPUTED_VALUE"""),178.89)</f>
        <v>178.89</v>
      </c>
      <c r="E467" s="2">
        <f>IFERROR(__xludf.DUMMYFUNCTION("""COMPUTED_VALUE"""),182.28)</f>
        <v>182.28</v>
      </c>
      <c r="F467" s="2">
        <f>IFERROR(__xludf.DUMMYFUNCTION("""COMPUTED_VALUE"""),1.6730407E7)</f>
        <v>16730407</v>
      </c>
    </row>
    <row r="468">
      <c r="A468" s="3">
        <f>IFERROR(__xludf.DUMMYFUNCTION("""COMPUTED_VALUE"""),45604.66666666667)</f>
        <v>45604.66667</v>
      </c>
      <c r="B468" s="2">
        <f>IFERROR(__xludf.DUMMYFUNCTION("""COMPUTED_VALUE"""),182.0)</f>
        <v>182</v>
      </c>
      <c r="C468" s="2">
        <f>IFERROR(__xludf.DUMMYFUNCTION("""COMPUTED_VALUE"""),182.35)</f>
        <v>182.35</v>
      </c>
      <c r="D468" s="2">
        <f>IFERROR(__xludf.DUMMYFUNCTION("""COMPUTED_VALUE"""),179.57)</f>
        <v>179.57</v>
      </c>
      <c r="E468" s="2">
        <f>IFERROR(__xludf.DUMMYFUNCTION("""COMPUTED_VALUE"""),179.86)</f>
        <v>179.86</v>
      </c>
      <c r="F468" s="2">
        <f>IFERROR(__xludf.DUMMYFUNCTION("""COMPUTED_VALUE"""),1.5021549E7)</f>
        <v>15021549</v>
      </c>
    </row>
    <row r="469">
      <c r="A469" s="3">
        <f>IFERROR(__xludf.DUMMYFUNCTION("""COMPUTED_VALUE"""),45607.66666666667)</f>
        <v>45607.66667</v>
      </c>
      <c r="B469" s="2">
        <f>IFERROR(__xludf.DUMMYFUNCTION("""COMPUTED_VALUE"""),180.07)</f>
        <v>180.07</v>
      </c>
      <c r="C469" s="2">
        <f>IFERROR(__xludf.DUMMYFUNCTION("""COMPUTED_VALUE"""),182.09)</f>
        <v>182.09</v>
      </c>
      <c r="D469" s="2">
        <f>IFERROR(__xludf.DUMMYFUNCTION("""COMPUTED_VALUE"""),179.99)</f>
        <v>179.99</v>
      </c>
      <c r="E469" s="2">
        <f>IFERROR(__xludf.DUMMYFUNCTION("""COMPUTED_VALUE"""),181.97)</f>
        <v>181.97</v>
      </c>
      <c r="F469" s="2">
        <f>IFERROR(__xludf.DUMMYFUNCTION("""COMPUTED_VALUE"""),1.2503422E7)</f>
        <v>12503422</v>
      </c>
    </row>
    <row r="470">
      <c r="A470" s="3">
        <f>IFERROR(__xludf.DUMMYFUNCTION("""COMPUTED_VALUE"""),45608.66666666667)</f>
        <v>45608.66667</v>
      </c>
      <c r="B470" s="2">
        <f>IFERROR(__xludf.DUMMYFUNCTION("""COMPUTED_VALUE"""),181.38)</f>
        <v>181.38</v>
      </c>
      <c r="C470" s="2">
        <f>IFERROR(__xludf.DUMMYFUNCTION("""COMPUTED_VALUE"""),184.03)</f>
        <v>184.03</v>
      </c>
      <c r="D470" s="2">
        <f>IFERROR(__xludf.DUMMYFUNCTION("""COMPUTED_VALUE"""),180.99)</f>
        <v>180.99</v>
      </c>
      <c r="E470" s="2">
        <f>IFERROR(__xludf.DUMMYFUNCTION("""COMPUTED_VALUE"""),183.32)</f>
        <v>183.32</v>
      </c>
      <c r="F470" s="2">
        <f>IFERROR(__xludf.DUMMYFUNCTION("""COMPUTED_VALUE"""),1.4065845E7)</f>
        <v>14065845</v>
      </c>
    </row>
    <row r="471">
      <c r="A471" s="3">
        <f>IFERROR(__xludf.DUMMYFUNCTION("""COMPUTED_VALUE"""),45609.66666666667)</f>
        <v>45609.66667</v>
      </c>
      <c r="B471" s="2">
        <f>IFERROR(__xludf.DUMMYFUNCTION("""COMPUTED_VALUE"""),182.15)</f>
        <v>182.15</v>
      </c>
      <c r="C471" s="2">
        <f>IFERROR(__xludf.DUMMYFUNCTION("""COMPUTED_VALUE"""),182.62)</f>
        <v>182.62</v>
      </c>
      <c r="D471" s="2">
        <f>IFERROR(__xludf.DUMMYFUNCTION("""COMPUTED_VALUE"""),180.12)</f>
        <v>180.12</v>
      </c>
      <c r="E471" s="2">
        <f>IFERROR(__xludf.DUMMYFUNCTION("""COMPUTED_VALUE"""),180.49)</f>
        <v>180.49</v>
      </c>
      <c r="F471" s="2">
        <f>IFERROR(__xludf.DUMMYFUNCTION("""COMPUTED_VALUE"""),1.3969709E7)</f>
        <v>13969709</v>
      </c>
    </row>
    <row r="472">
      <c r="A472" s="3">
        <f>IFERROR(__xludf.DUMMYFUNCTION("""COMPUTED_VALUE"""),45610.66666666667)</f>
        <v>45610.66667</v>
      </c>
      <c r="B472" s="2">
        <f>IFERROR(__xludf.DUMMYFUNCTION("""COMPUTED_VALUE"""),179.75)</f>
        <v>179.75</v>
      </c>
      <c r="C472" s="2">
        <f>IFERROR(__xludf.DUMMYFUNCTION("""COMPUTED_VALUE"""),180.45)</f>
        <v>180.45</v>
      </c>
      <c r="D472" s="2">
        <f>IFERROR(__xludf.DUMMYFUNCTION("""COMPUTED_VALUE"""),176.03)</f>
        <v>176.03</v>
      </c>
      <c r="E472" s="2">
        <f>IFERROR(__xludf.DUMMYFUNCTION("""COMPUTED_VALUE"""),177.35)</f>
        <v>177.35</v>
      </c>
      <c r="F472" s="2">
        <f>IFERROR(__xludf.DUMMYFUNCTION("""COMPUTED_VALUE"""),1.7925763E7)</f>
        <v>17925763</v>
      </c>
    </row>
    <row r="473">
      <c r="A473" s="3">
        <f>IFERROR(__xludf.DUMMYFUNCTION("""COMPUTED_VALUE"""),45611.66666666667)</f>
        <v>45611.66667</v>
      </c>
      <c r="B473" s="2">
        <f>IFERROR(__xludf.DUMMYFUNCTION("""COMPUTED_VALUE"""),175.64)</f>
        <v>175.64</v>
      </c>
      <c r="C473" s="2">
        <f>IFERROR(__xludf.DUMMYFUNCTION("""COMPUTED_VALUE"""),175.88)</f>
        <v>175.88</v>
      </c>
      <c r="D473" s="2">
        <f>IFERROR(__xludf.DUMMYFUNCTION("""COMPUTED_VALUE"""),172.75)</f>
        <v>172.75</v>
      </c>
      <c r="E473" s="2">
        <f>IFERROR(__xludf.DUMMYFUNCTION("""COMPUTED_VALUE"""),173.89)</f>
        <v>173.89</v>
      </c>
      <c r="F473" s="2">
        <f>IFERROR(__xludf.DUMMYFUNCTION("""COMPUTED_VALUE"""),2.170887E7)</f>
        <v>21708870</v>
      </c>
    </row>
    <row r="474">
      <c r="A474" s="3">
        <f>IFERROR(__xludf.DUMMYFUNCTION("""COMPUTED_VALUE"""),45614.66666666667)</f>
        <v>45614.66667</v>
      </c>
      <c r="B474" s="2">
        <f>IFERROR(__xludf.DUMMYFUNCTION("""COMPUTED_VALUE"""),174.96)</f>
        <v>174.96</v>
      </c>
      <c r="C474" s="2">
        <f>IFERROR(__xludf.DUMMYFUNCTION("""COMPUTED_VALUE"""),176.91)</f>
        <v>176.91</v>
      </c>
      <c r="D474" s="2">
        <f>IFERROR(__xludf.DUMMYFUNCTION("""COMPUTED_VALUE"""),174.42)</f>
        <v>174.42</v>
      </c>
      <c r="E474" s="2">
        <f>IFERROR(__xludf.DUMMYFUNCTION("""COMPUTED_VALUE"""),176.8)</f>
        <v>176.8</v>
      </c>
      <c r="F474" s="2">
        <f>IFERROR(__xludf.DUMMYFUNCTION("""COMPUTED_VALUE"""),1.8725422E7)</f>
        <v>18725422</v>
      </c>
    </row>
    <row r="475">
      <c r="A475" s="3">
        <f>IFERROR(__xludf.DUMMYFUNCTION("""COMPUTED_VALUE"""),45615.66666666667)</f>
        <v>45615.66667</v>
      </c>
      <c r="B475" s="2">
        <f>IFERROR(__xludf.DUMMYFUNCTION("""COMPUTED_VALUE"""),175.24)</f>
        <v>175.24</v>
      </c>
      <c r="C475" s="2">
        <f>IFERROR(__xludf.DUMMYFUNCTION("""COMPUTED_VALUE"""),180.17)</f>
        <v>180.17</v>
      </c>
      <c r="D475" s="2">
        <f>IFERROR(__xludf.DUMMYFUNCTION("""COMPUTED_VALUE"""),175.12)</f>
        <v>175.12</v>
      </c>
      <c r="E475" s="2">
        <f>IFERROR(__xludf.DUMMYFUNCTION("""COMPUTED_VALUE"""),179.58)</f>
        <v>179.58</v>
      </c>
      <c r="F475" s="2">
        <f>IFERROR(__xludf.DUMMYFUNCTION("""COMPUTED_VALUE"""),1.5392866E7)</f>
        <v>15392866</v>
      </c>
    </row>
    <row r="476">
      <c r="A476" s="3">
        <f>IFERROR(__xludf.DUMMYFUNCTION("""COMPUTED_VALUE"""),45616.66666666667)</f>
        <v>45616.66667</v>
      </c>
      <c r="B476" s="2">
        <f>IFERROR(__xludf.DUMMYFUNCTION("""COMPUTED_VALUE"""),178.83)</f>
        <v>178.83</v>
      </c>
      <c r="C476" s="2">
        <f>IFERROR(__xludf.DUMMYFUNCTION("""COMPUTED_VALUE"""),179.11)</f>
        <v>179.11</v>
      </c>
      <c r="D476" s="2">
        <f>IFERROR(__xludf.DUMMYFUNCTION("""COMPUTED_VALUE"""),175.33)</f>
        <v>175.33</v>
      </c>
      <c r="E476" s="2">
        <f>IFERROR(__xludf.DUMMYFUNCTION("""COMPUTED_VALUE"""),177.33)</f>
        <v>177.33</v>
      </c>
      <c r="F476" s="2">
        <f>IFERROR(__xludf.DUMMYFUNCTION("""COMPUTED_VALUE"""),1.5729806E7)</f>
        <v>15729806</v>
      </c>
    </row>
    <row r="477">
      <c r="A477" s="3">
        <f>IFERROR(__xludf.DUMMYFUNCTION("""COMPUTED_VALUE"""),45617.66666666667)</f>
        <v>45617.66667</v>
      </c>
      <c r="B477" s="2">
        <f>IFERROR(__xludf.DUMMYFUNCTION("""COMPUTED_VALUE"""),175.46)</f>
        <v>175.46</v>
      </c>
      <c r="C477" s="2">
        <f>IFERROR(__xludf.DUMMYFUNCTION("""COMPUTED_VALUE"""),175.58)</f>
        <v>175.58</v>
      </c>
      <c r="D477" s="2">
        <f>IFERROR(__xludf.DUMMYFUNCTION("""COMPUTED_VALUE"""),165.31)</f>
        <v>165.31</v>
      </c>
      <c r="E477" s="2">
        <f>IFERROR(__xludf.DUMMYFUNCTION("""COMPUTED_VALUE"""),169.24)</f>
        <v>169.24</v>
      </c>
      <c r="F477" s="2">
        <f>IFERROR(__xludf.DUMMYFUNCTION("""COMPUTED_VALUE"""),3.8839431E7)</f>
        <v>38839431</v>
      </c>
    </row>
    <row r="478">
      <c r="A478" s="3">
        <f>IFERROR(__xludf.DUMMYFUNCTION("""COMPUTED_VALUE"""),45618.66666666667)</f>
        <v>45618.66667</v>
      </c>
      <c r="B478" s="2">
        <f>IFERROR(__xludf.DUMMYFUNCTION("""COMPUTED_VALUE"""),167.16)</f>
        <v>167.16</v>
      </c>
      <c r="C478" s="2">
        <f>IFERROR(__xludf.DUMMYFUNCTION("""COMPUTED_VALUE"""),168.26)</f>
        <v>168.26</v>
      </c>
      <c r="D478" s="2">
        <f>IFERROR(__xludf.DUMMYFUNCTION("""COMPUTED_VALUE"""),165.71)</f>
        <v>165.71</v>
      </c>
      <c r="E478" s="2">
        <f>IFERROR(__xludf.DUMMYFUNCTION("""COMPUTED_VALUE"""),166.57)</f>
        <v>166.57</v>
      </c>
      <c r="F478" s="2">
        <f>IFERROR(__xludf.DUMMYFUNCTION("""COMPUTED_VALUE"""),2.4497042E7)</f>
        <v>24497042</v>
      </c>
    </row>
    <row r="479">
      <c r="A479" s="3">
        <f>IFERROR(__xludf.DUMMYFUNCTION("""COMPUTED_VALUE"""),45621.66666666667)</f>
        <v>45621.66667</v>
      </c>
      <c r="B479" s="2">
        <f>IFERROR(__xludf.DUMMYFUNCTION("""COMPUTED_VALUE"""),167.99)</f>
        <v>167.99</v>
      </c>
      <c r="C479" s="2">
        <f>IFERROR(__xludf.DUMMYFUNCTION("""COMPUTED_VALUE"""),170.46)</f>
        <v>170.46</v>
      </c>
      <c r="D479" s="2">
        <f>IFERROR(__xludf.DUMMYFUNCTION("""COMPUTED_VALUE"""),167.4)</f>
        <v>167.4</v>
      </c>
      <c r="E479" s="2">
        <f>IFERROR(__xludf.DUMMYFUNCTION("""COMPUTED_VALUE"""),169.43)</f>
        <v>169.43</v>
      </c>
      <c r="F479" s="2">
        <f>IFERROR(__xludf.DUMMYFUNCTION("""COMPUTED_VALUE"""),2.1395652E7)</f>
        <v>21395652</v>
      </c>
    </row>
    <row r="480">
      <c r="A480" s="3">
        <f>IFERROR(__xludf.DUMMYFUNCTION("""COMPUTED_VALUE"""),45622.66666666667)</f>
        <v>45622.66667</v>
      </c>
      <c r="B480" s="2">
        <f>IFERROR(__xludf.DUMMYFUNCTION("""COMPUTED_VALUE"""),169.49)</f>
        <v>169.49</v>
      </c>
      <c r="C480" s="2">
        <f>IFERROR(__xludf.DUMMYFUNCTION("""COMPUTED_VALUE"""),171.5)</f>
        <v>171.5</v>
      </c>
      <c r="D480" s="2">
        <f>IFERROR(__xludf.DUMMYFUNCTION("""COMPUTED_VALUE"""),169.43)</f>
        <v>169.43</v>
      </c>
      <c r="E480" s="2">
        <f>IFERROR(__xludf.DUMMYFUNCTION("""COMPUTED_VALUE"""),170.62)</f>
        <v>170.62</v>
      </c>
      <c r="F480" s="2">
        <f>IFERROR(__xludf.DUMMYFUNCTION("""COMPUTED_VALUE"""),1.4937478E7)</f>
        <v>14937478</v>
      </c>
    </row>
    <row r="481">
      <c r="A481" s="3">
        <f>IFERROR(__xludf.DUMMYFUNCTION("""COMPUTED_VALUE"""),45623.66666666667)</f>
        <v>45623.66667</v>
      </c>
      <c r="B481" s="2">
        <f>IFERROR(__xludf.DUMMYFUNCTION("""COMPUTED_VALUE"""),170.68)</f>
        <v>170.68</v>
      </c>
      <c r="C481" s="2">
        <f>IFERROR(__xludf.DUMMYFUNCTION("""COMPUTED_VALUE"""),171.14)</f>
        <v>171.14</v>
      </c>
      <c r="D481" s="2">
        <f>IFERROR(__xludf.DUMMYFUNCTION("""COMPUTED_VALUE"""),169.67)</f>
        <v>169.67</v>
      </c>
      <c r="E481" s="2">
        <f>IFERROR(__xludf.DUMMYFUNCTION("""COMPUTED_VALUE"""),170.82)</f>
        <v>170.82</v>
      </c>
      <c r="F481" s="2">
        <f>IFERROR(__xludf.DUMMYFUNCTION("""COMPUTED_VALUE"""),1.2433371E7)</f>
        <v>12433371</v>
      </c>
    </row>
    <row r="482">
      <c r="A482" s="3">
        <f>IFERROR(__xludf.DUMMYFUNCTION("""COMPUTED_VALUE"""),45625.54513888889)</f>
        <v>45625.54514</v>
      </c>
      <c r="B482" s="2">
        <f>IFERROR(__xludf.DUMMYFUNCTION("""COMPUTED_VALUE"""),170.06)</f>
        <v>170.06</v>
      </c>
      <c r="C482" s="2">
        <f>IFERROR(__xludf.DUMMYFUNCTION("""COMPUTED_VALUE"""),170.87)</f>
        <v>170.87</v>
      </c>
      <c r="D482" s="2">
        <f>IFERROR(__xludf.DUMMYFUNCTION("""COMPUTED_VALUE"""),168.75)</f>
        <v>168.75</v>
      </c>
      <c r="E482" s="2">
        <f>IFERROR(__xludf.DUMMYFUNCTION("""COMPUTED_VALUE"""),170.49)</f>
        <v>170.49</v>
      </c>
      <c r="F482" s="2">
        <f>IFERROR(__xludf.DUMMYFUNCTION("""COMPUTED_VALUE"""),9250712.0)</f>
        <v>9250712</v>
      </c>
    </row>
    <row r="483">
      <c r="A483" s="3">
        <f>IFERROR(__xludf.DUMMYFUNCTION("""COMPUTED_VALUE"""),45628.66666666667)</f>
        <v>45628.66667</v>
      </c>
      <c r="B483" s="2">
        <f>IFERROR(__xludf.DUMMYFUNCTION("""COMPUTED_VALUE"""),170.32)</f>
        <v>170.32</v>
      </c>
      <c r="C483" s="2">
        <f>IFERROR(__xludf.DUMMYFUNCTION("""COMPUTED_VALUE"""),173.6)</f>
        <v>173.6</v>
      </c>
      <c r="D483" s="2">
        <f>IFERROR(__xludf.DUMMYFUNCTION("""COMPUTED_VALUE"""),170.27)</f>
        <v>170.27</v>
      </c>
      <c r="E483" s="2">
        <f>IFERROR(__xludf.DUMMYFUNCTION("""COMPUTED_VALUE"""),172.98)</f>
        <v>172.98</v>
      </c>
      <c r="F483" s="2">
        <f>IFERROR(__xludf.DUMMYFUNCTION("""COMPUTED_VALUE"""),1.6593444E7)</f>
        <v>16593444</v>
      </c>
    </row>
    <row r="484">
      <c r="A484" s="3">
        <f>IFERROR(__xludf.DUMMYFUNCTION("""COMPUTED_VALUE"""),45629.66666666667)</f>
        <v>45629.66667</v>
      </c>
      <c r="B484" s="2">
        <f>IFERROR(__xludf.DUMMYFUNCTION("""COMPUTED_VALUE"""),173.12)</f>
        <v>173.12</v>
      </c>
      <c r="C484" s="2">
        <f>IFERROR(__xludf.DUMMYFUNCTION("""COMPUTED_VALUE"""),174.32)</f>
        <v>174.32</v>
      </c>
      <c r="D484" s="2">
        <f>IFERROR(__xludf.DUMMYFUNCTION("""COMPUTED_VALUE"""),172.51)</f>
        <v>172.51</v>
      </c>
      <c r="E484" s="2">
        <f>IFERROR(__xludf.DUMMYFUNCTION("""COMPUTED_VALUE"""),173.02)</f>
        <v>173.02</v>
      </c>
      <c r="F484" s="2">
        <f>IFERROR(__xludf.DUMMYFUNCTION("""COMPUTED_VALUE"""),1.5721483E7)</f>
        <v>15721483</v>
      </c>
    </row>
    <row r="485">
      <c r="A485" s="3">
        <f>IFERROR(__xludf.DUMMYFUNCTION("""COMPUTED_VALUE"""),45630.66666666667)</f>
        <v>45630.66667</v>
      </c>
      <c r="B485" s="2">
        <f>IFERROR(__xludf.DUMMYFUNCTION("""COMPUTED_VALUE"""),172.78)</f>
        <v>172.78</v>
      </c>
      <c r="C485" s="2">
        <f>IFERROR(__xludf.DUMMYFUNCTION("""COMPUTED_VALUE"""),176.43)</f>
        <v>176.43</v>
      </c>
      <c r="D485" s="2">
        <f>IFERROR(__xludf.DUMMYFUNCTION("""COMPUTED_VALUE"""),172.75)</f>
        <v>172.75</v>
      </c>
      <c r="E485" s="2">
        <f>IFERROR(__xludf.DUMMYFUNCTION("""COMPUTED_VALUE"""),176.09)</f>
        <v>176.09</v>
      </c>
      <c r="F485" s="2">
        <f>IFERROR(__xludf.DUMMYFUNCTION("""COMPUTED_VALUE"""),1.8239842E7)</f>
        <v>18239842</v>
      </c>
    </row>
    <row r="486">
      <c r="A486" s="3">
        <f>IFERROR(__xludf.DUMMYFUNCTION("""COMPUTED_VALUE"""),45631.66666666667)</f>
        <v>45631.66667</v>
      </c>
      <c r="B486" s="2">
        <f>IFERROR(__xludf.DUMMYFUNCTION("""COMPUTED_VALUE"""),177.32)</f>
        <v>177.32</v>
      </c>
      <c r="C486" s="2">
        <f>IFERROR(__xludf.DUMMYFUNCTION("""COMPUTED_VALUE"""),177.71)</f>
        <v>177.71</v>
      </c>
      <c r="D486" s="2">
        <f>IFERROR(__xludf.DUMMYFUNCTION("""COMPUTED_VALUE"""),174.01)</f>
        <v>174.01</v>
      </c>
      <c r="E486" s="2">
        <f>IFERROR(__xludf.DUMMYFUNCTION("""COMPUTED_VALUE"""),174.31)</f>
        <v>174.31</v>
      </c>
      <c r="F486" s="2">
        <f>IFERROR(__xludf.DUMMYFUNCTION("""COMPUTED_VALUE"""),1.614552E7)</f>
        <v>16145520</v>
      </c>
    </row>
    <row r="487">
      <c r="A487" s="3">
        <f>IFERROR(__xludf.DUMMYFUNCTION("""COMPUTED_VALUE"""),45632.66666666667)</f>
        <v>45632.66667</v>
      </c>
      <c r="B487" s="2">
        <f>IFERROR(__xludf.DUMMYFUNCTION("""COMPUTED_VALUE"""),173.88)</f>
        <v>173.88</v>
      </c>
      <c r="C487" s="2">
        <f>IFERROR(__xludf.DUMMYFUNCTION("""COMPUTED_VALUE"""),176.84)</f>
        <v>176.84</v>
      </c>
      <c r="D487" s="2">
        <f>IFERROR(__xludf.DUMMYFUNCTION("""COMPUTED_VALUE"""),173.55)</f>
        <v>173.55</v>
      </c>
      <c r="E487" s="2">
        <f>IFERROR(__xludf.DUMMYFUNCTION("""COMPUTED_VALUE"""),176.49)</f>
        <v>176.49</v>
      </c>
      <c r="F487" s="2">
        <f>IFERROR(__xludf.DUMMYFUNCTION("""COMPUTED_VALUE"""),1.3319549E7)</f>
        <v>13319549</v>
      </c>
    </row>
    <row r="488">
      <c r="A488" s="3">
        <f>IFERROR(__xludf.DUMMYFUNCTION("""COMPUTED_VALUE"""),45635.66666666667)</f>
        <v>45635.66667</v>
      </c>
      <c r="B488" s="2">
        <f>IFERROR(__xludf.DUMMYFUNCTION("""COMPUTED_VALUE"""),175.72)</f>
        <v>175.72</v>
      </c>
      <c r="C488" s="2">
        <f>IFERROR(__xludf.DUMMYFUNCTION("""COMPUTED_VALUE"""),178.04)</f>
        <v>178.04</v>
      </c>
      <c r="D488" s="2">
        <f>IFERROR(__xludf.DUMMYFUNCTION("""COMPUTED_VALUE"""),175.4)</f>
        <v>175.4</v>
      </c>
      <c r="E488" s="2">
        <f>IFERROR(__xludf.DUMMYFUNCTION("""COMPUTED_VALUE"""),177.1)</f>
        <v>177.1</v>
      </c>
      <c r="F488" s="2">
        <f>IFERROR(__xludf.DUMMYFUNCTION("""COMPUTED_VALUE"""),1.9887786E7)</f>
        <v>19887786</v>
      </c>
    </row>
    <row r="489">
      <c r="A489" s="3">
        <f>IFERROR(__xludf.DUMMYFUNCTION("""COMPUTED_VALUE"""),45636.66666666667)</f>
        <v>45636.66667</v>
      </c>
      <c r="B489" s="2">
        <f>IFERROR(__xludf.DUMMYFUNCTION("""COMPUTED_VALUE"""),184.54)</f>
        <v>184.54</v>
      </c>
      <c r="C489" s="2">
        <f>IFERROR(__xludf.DUMMYFUNCTION("""COMPUTED_VALUE"""),188.03)</f>
        <v>188.03</v>
      </c>
      <c r="D489" s="2">
        <f>IFERROR(__xludf.DUMMYFUNCTION("""COMPUTED_VALUE"""),182.67)</f>
        <v>182.67</v>
      </c>
      <c r="E489" s="2">
        <f>IFERROR(__xludf.DUMMYFUNCTION("""COMPUTED_VALUE"""),186.53)</f>
        <v>186.53</v>
      </c>
      <c r="F489" s="2">
        <f>IFERROR(__xludf.DUMMYFUNCTION("""COMPUTED_VALUE"""),3.4317438E7)</f>
        <v>34317438</v>
      </c>
    </row>
    <row r="490">
      <c r="A490" s="3">
        <f>IFERROR(__xludf.DUMMYFUNCTION("""COMPUTED_VALUE"""),45637.66666666667)</f>
        <v>45637.66667</v>
      </c>
      <c r="B490" s="2">
        <f>IFERROR(__xludf.DUMMYFUNCTION("""COMPUTED_VALUE"""),186.7)</f>
        <v>186.7</v>
      </c>
      <c r="C490" s="2">
        <f>IFERROR(__xludf.DUMMYFUNCTION("""COMPUTED_VALUE"""),196.89)</f>
        <v>196.89</v>
      </c>
      <c r="D490" s="2">
        <f>IFERROR(__xludf.DUMMYFUNCTION("""COMPUTED_VALUE"""),186.26)</f>
        <v>186.26</v>
      </c>
      <c r="E490" s="2">
        <f>IFERROR(__xludf.DUMMYFUNCTION("""COMPUTED_VALUE"""),196.71)</f>
        <v>196.71</v>
      </c>
      <c r="F490" s="2">
        <f>IFERROR(__xludf.DUMMYFUNCTION("""COMPUTED_VALUE"""),4.1664489E7)</f>
        <v>41664489</v>
      </c>
    </row>
    <row r="491">
      <c r="A491" s="3">
        <f>IFERROR(__xludf.DUMMYFUNCTION("""COMPUTED_VALUE"""),45638.66666666667)</f>
        <v>45638.66667</v>
      </c>
      <c r="B491" s="2">
        <f>IFERROR(__xludf.DUMMYFUNCTION("""COMPUTED_VALUE"""),196.3)</f>
        <v>196.3</v>
      </c>
      <c r="C491" s="2">
        <f>IFERROR(__xludf.DUMMYFUNCTION("""COMPUTED_VALUE"""),196.71)</f>
        <v>196.71</v>
      </c>
      <c r="D491" s="2">
        <f>IFERROR(__xludf.DUMMYFUNCTION("""COMPUTED_VALUE"""),193.28)</f>
        <v>193.28</v>
      </c>
      <c r="E491" s="2">
        <f>IFERROR(__xludf.DUMMYFUNCTION("""COMPUTED_VALUE"""),193.63)</f>
        <v>193.63</v>
      </c>
      <c r="F491" s="2">
        <f>IFERROR(__xludf.DUMMYFUNCTION("""COMPUTED_VALUE"""),2.5197757E7)</f>
        <v>25197757</v>
      </c>
    </row>
    <row r="492">
      <c r="A492" s="3">
        <f>IFERROR(__xludf.DUMMYFUNCTION("""COMPUTED_VALUE"""),45639.66666666667)</f>
        <v>45639.66667</v>
      </c>
      <c r="B492" s="2">
        <f>IFERROR(__xludf.DUMMYFUNCTION("""COMPUTED_VALUE"""),192.71)</f>
        <v>192.71</v>
      </c>
      <c r="C492" s="2">
        <f>IFERROR(__xludf.DUMMYFUNCTION("""COMPUTED_VALUE"""),194.34)</f>
        <v>194.34</v>
      </c>
      <c r="D492" s="2">
        <f>IFERROR(__xludf.DUMMYFUNCTION("""COMPUTED_VALUE"""),191.26)</f>
        <v>191.26</v>
      </c>
      <c r="E492" s="2">
        <f>IFERROR(__xludf.DUMMYFUNCTION("""COMPUTED_VALUE"""),191.38)</f>
        <v>191.38</v>
      </c>
      <c r="F492" s="2">
        <f>IFERROR(__xludf.DUMMYFUNCTION("""COMPUTED_VALUE"""),1.8883217E7)</f>
        <v>18883217</v>
      </c>
    </row>
    <row r="493">
      <c r="A493" s="3">
        <f>IFERROR(__xludf.DUMMYFUNCTION("""COMPUTED_VALUE"""),45642.66666666667)</f>
        <v>45642.66667</v>
      </c>
      <c r="B493" s="2">
        <f>IFERROR(__xludf.DUMMYFUNCTION("""COMPUTED_VALUE"""),194.37)</f>
        <v>194.37</v>
      </c>
      <c r="C493" s="2">
        <f>IFERROR(__xludf.DUMMYFUNCTION("""COMPUTED_VALUE"""),200.64)</f>
        <v>200.64</v>
      </c>
      <c r="D493" s="2">
        <f>IFERROR(__xludf.DUMMYFUNCTION("""COMPUTED_VALUE"""),194.11)</f>
        <v>194.11</v>
      </c>
      <c r="E493" s="2">
        <f>IFERROR(__xludf.DUMMYFUNCTION("""COMPUTED_VALUE"""),198.16)</f>
        <v>198.16</v>
      </c>
      <c r="F493" s="2">
        <f>IFERROR(__xludf.DUMMYFUNCTION("""COMPUTED_VALUE"""),3.224864E7)</f>
        <v>32248640</v>
      </c>
    </row>
    <row r="494">
      <c r="A494" s="3">
        <f>IFERROR(__xludf.DUMMYFUNCTION("""COMPUTED_VALUE"""),45643.66666666667)</f>
        <v>45643.66667</v>
      </c>
      <c r="B494" s="2">
        <f>IFERROR(__xludf.DUMMYFUNCTION("""COMPUTED_VALUE"""),198.53)</f>
        <v>198.53</v>
      </c>
      <c r="C494" s="2">
        <f>IFERROR(__xludf.DUMMYFUNCTION("""COMPUTED_VALUE"""),202.88)</f>
        <v>202.88</v>
      </c>
      <c r="D494" s="2">
        <f>IFERROR(__xludf.DUMMYFUNCTION("""COMPUTED_VALUE"""),196.69)</f>
        <v>196.69</v>
      </c>
      <c r="E494" s="2">
        <f>IFERROR(__xludf.DUMMYFUNCTION("""COMPUTED_VALUE"""),197.12)</f>
        <v>197.12</v>
      </c>
      <c r="F494" s="2">
        <f>IFERROR(__xludf.DUMMYFUNCTION("""COMPUTED_VALUE"""),2.4129481E7)</f>
        <v>24129481</v>
      </c>
    </row>
  </sheetData>
  <drawing r:id="rId1"/>
</worksheet>
</file>