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0" yWindow="0" windowWidth="24240" windowHeight="12450"/>
  </bookViews>
  <sheets>
    <sheet name="Sheet1" sheetId="9" r:id="rId1"/>
  </sheets>
  <calcPr calcId="144525"/>
</workbook>
</file>

<file path=xl/calcChain.xml><?xml version="1.0" encoding="utf-8"?>
<calcChain xmlns="http://schemas.openxmlformats.org/spreadsheetml/2006/main">
  <c r="O16" i="9" l="1"/>
  <c r="C22" i="9" l="1"/>
  <c r="C15" i="9"/>
  <c r="C14" i="9"/>
  <c r="C13" i="9"/>
  <c r="C12" i="9"/>
  <c r="C11" i="9"/>
  <c r="C10" i="9"/>
  <c r="C9" i="9"/>
  <c r="C5" i="9"/>
  <c r="J10" i="9" l="1"/>
  <c r="D14" i="9"/>
  <c r="E14" i="9"/>
  <c r="F14" i="9"/>
  <c r="G14" i="9"/>
  <c r="H14" i="9"/>
  <c r="I14" i="9"/>
  <c r="J14" i="9"/>
  <c r="K14" i="9"/>
  <c r="L14" i="9"/>
  <c r="D13" i="9"/>
  <c r="E13" i="9"/>
  <c r="F13" i="9"/>
  <c r="G13" i="9"/>
  <c r="H13" i="9"/>
  <c r="I13" i="9"/>
  <c r="J13" i="9"/>
  <c r="K13" i="9"/>
  <c r="L13" i="9"/>
  <c r="D10" i="9"/>
  <c r="E10" i="9"/>
  <c r="F10" i="9"/>
  <c r="G10" i="9"/>
  <c r="H10" i="9"/>
  <c r="I10" i="9"/>
  <c r="K10" i="9"/>
  <c r="L10" i="9"/>
  <c r="D11" i="9"/>
  <c r="E11" i="9"/>
  <c r="F11" i="9"/>
  <c r="G11" i="9"/>
  <c r="H11" i="9"/>
  <c r="I11" i="9"/>
  <c r="J11" i="9"/>
  <c r="K11" i="9"/>
  <c r="L11" i="9"/>
  <c r="D12" i="9"/>
  <c r="E12" i="9"/>
  <c r="F12" i="9"/>
  <c r="G12" i="9"/>
  <c r="H12" i="9"/>
  <c r="I12" i="9"/>
  <c r="J12" i="9"/>
  <c r="K12" i="9"/>
  <c r="L12" i="9"/>
  <c r="D9" i="9"/>
  <c r="E9" i="9"/>
  <c r="F9" i="9"/>
  <c r="G9" i="9"/>
  <c r="H9" i="9"/>
  <c r="I9" i="9"/>
  <c r="J9" i="9"/>
  <c r="K9" i="9"/>
  <c r="L9" i="9"/>
  <c r="C1" i="9" l="1"/>
  <c r="B16" i="9"/>
  <c r="B17" i="9"/>
  <c r="B18" i="9"/>
  <c r="B19" i="9"/>
  <c r="B20" i="9"/>
  <c r="B21" i="9"/>
  <c r="B14" i="9"/>
  <c r="B12" i="9"/>
  <c r="B10" i="9"/>
  <c r="B13" i="9"/>
  <c r="B11" i="9"/>
  <c r="B9" i="9"/>
  <c r="C4" i="9"/>
  <c r="D4" i="9" s="1"/>
  <c r="E4" i="9" s="1"/>
  <c r="F4" i="9" s="1"/>
  <c r="G4" i="9" s="1"/>
  <c r="H4" i="9" s="1"/>
  <c r="D5" i="9"/>
  <c r="E5" i="9"/>
  <c r="F5" i="9"/>
  <c r="G5" i="9"/>
  <c r="H5" i="9"/>
  <c r="I18" i="9" l="1"/>
  <c r="E18" i="9"/>
  <c r="I17" i="9"/>
  <c r="L16" i="9"/>
  <c r="F16" i="9"/>
  <c r="L20" i="9"/>
  <c r="J20" i="9"/>
  <c r="H20" i="9"/>
  <c r="F20" i="9"/>
  <c r="D20" i="9"/>
  <c r="L19" i="9"/>
  <c r="J19" i="9"/>
  <c r="D19" i="9"/>
  <c r="H18" i="9"/>
  <c r="F18" i="9"/>
  <c r="D18" i="9"/>
  <c r="J17" i="9"/>
  <c r="H17" i="9"/>
  <c r="F17" i="9"/>
  <c r="K16" i="9"/>
  <c r="I16" i="9"/>
  <c r="E16" i="9"/>
  <c r="C16" i="9"/>
  <c r="K21" i="9"/>
  <c r="K20" i="9"/>
  <c r="I20" i="9"/>
  <c r="G20" i="9"/>
  <c r="E20" i="9"/>
  <c r="C20" i="9"/>
  <c r="G19" i="9"/>
  <c r="K18" i="9"/>
  <c r="G18" i="9"/>
  <c r="C18" i="9"/>
  <c r="G17" i="9"/>
  <c r="H16" i="9"/>
  <c r="D16" i="9"/>
  <c r="P18" i="9"/>
  <c r="S18" i="9"/>
  <c r="H7" i="9"/>
  <c r="G7" i="9"/>
  <c r="F7" i="9"/>
  <c r="E7" i="9"/>
  <c r="D7" i="9"/>
  <c r="C7" i="9"/>
  <c r="D6" i="9" l="1"/>
  <c r="C6" i="9"/>
  <c r="E6" i="9" l="1"/>
  <c r="F6" i="9" l="1"/>
  <c r="G6" i="9" l="1"/>
  <c r="H6" i="9" l="1"/>
  <c r="H8" i="9" s="1"/>
  <c r="F8" i="9" l="1"/>
  <c r="D8" i="9"/>
  <c r="E21" i="9" l="1"/>
  <c r="C19" i="9"/>
  <c r="L21" i="9"/>
  <c r="H21" i="9"/>
  <c r="D21" i="9"/>
  <c r="H19" i="9"/>
  <c r="J18" i="9"/>
  <c r="L17" i="9"/>
  <c r="D17" i="9"/>
  <c r="G21" i="9"/>
  <c r="J16" i="9"/>
  <c r="I19" i="9"/>
  <c r="J21" i="9"/>
  <c r="F21" i="9"/>
  <c r="F19" i="9"/>
  <c r="L18" i="9"/>
  <c r="G16" i="9"/>
  <c r="S16" i="9" s="1"/>
  <c r="I21" i="9"/>
  <c r="C21" i="9"/>
  <c r="O20" i="9" s="1"/>
  <c r="K19" i="9"/>
  <c r="E19" i="9"/>
  <c r="Q18" i="9" s="1"/>
  <c r="K17" i="9"/>
  <c r="E17" i="9"/>
  <c r="Q16" i="9" s="1"/>
  <c r="C17" i="9"/>
  <c r="U16" i="9"/>
  <c r="W16" i="9"/>
  <c r="R20" i="9"/>
  <c r="U18" i="9"/>
  <c r="R18" i="9"/>
  <c r="V20" i="9"/>
  <c r="O18" i="9"/>
  <c r="P20" i="9"/>
  <c r="W20" i="9"/>
  <c r="Q20" i="9"/>
  <c r="T20" i="9"/>
  <c r="T18" i="9"/>
  <c r="W18" i="9"/>
  <c r="S20" i="9"/>
  <c r="X20" i="9"/>
  <c r="U20" i="9"/>
  <c r="X16" i="9"/>
  <c r="X18" i="9"/>
  <c r="T16" i="9"/>
  <c r="V18" i="9"/>
  <c r="P16" i="9"/>
  <c r="V16" i="9"/>
  <c r="R16" i="9"/>
</calcChain>
</file>

<file path=xl/sharedStrings.xml><?xml version="1.0" encoding="utf-8"?>
<sst xmlns="http://schemas.openxmlformats.org/spreadsheetml/2006/main" count="29" uniqueCount="28">
  <si>
    <t>logOD</t>
    <phoneticPr fontId="2" type="noConversion"/>
  </si>
  <si>
    <t>y=</t>
    <phoneticPr fontId="2" type="noConversion"/>
  </si>
  <si>
    <t>x+</t>
    <phoneticPr fontId="2" type="noConversion"/>
  </si>
  <si>
    <r>
      <rPr>
        <sz val="10"/>
        <rFont val="宋体"/>
        <family val="3"/>
        <charset val="134"/>
      </rPr>
      <t>参比</t>
    </r>
    <r>
      <rPr>
        <sz val="10"/>
        <rFont val="Times New Roman"/>
        <family val="1"/>
      </rPr>
      <t>OD</t>
    </r>
    <phoneticPr fontId="2" type="noConversion"/>
  </si>
  <si>
    <r>
      <rPr>
        <sz val="10"/>
        <rFont val="宋体"/>
        <family val="3"/>
        <charset val="134"/>
      </rPr>
      <t>标准曲线</t>
    </r>
    <r>
      <rPr>
        <sz val="10"/>
        <rFont val="Times New Roman"/>
        <family val="1"/>
      </rPr>
      <t>y=kx+b</t>
    </r>
    <phoneticPr fontId="2" type="noConversion"/>
  </si>
  <si>
    <t>参比浓度</t>
    <phoneticPr fontId="2" type="noConversion"/>
  </si>
  <si>
    <r>
      <t>log</t>
    </r>
    <r>
      <rPr>
        <sz val="10"/>
        <rFont val="宋体"/>
        <family val="3"/>
        <charset val="134"/>
      </rPr>
      <t>浓度</t>
    </r>
    <phoneticPr fontId="2" type="noConversion"/>
  </si>
  <si>
    <t>阳性对照</t>
    <phoneticPr fontId="2" type="noConversion"/>
  </si>
  <si>
    <t>阳性对照</t>
    <phoneticPr fontId="2" type="noConversion"/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</si>
  <si>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</si>
  <si>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</si>
  <si>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</si>
  <si>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</si>
  <si>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</si>
  <si>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</si>
  <si>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</si>
  <si>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</si>
  <si>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</si>
  <si>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？倍OD:</t>
    <phoneticPr fontId="2" type="noConversion"/>
  </si>
  <si>
    <t>阳性对照:</t>
    <phoneticPr fontId="2" type="noConversion"/>
  </si>
  <si>
    <r>
      <rPr>
        <b/>
        <sz val="10"/>
        <rFont val="宋体"/>
        <family val="3"/>
        <charset val="134"/>
      </rPr>
      <t>倍</t>
    </r>
    <r>
      <rPr>
        <b/>
        <sz val="10"/>
        <rFont val="Arial"/>
        <family val="2"/>
      </rPr>
      <t>OD</t>
    </r>
    <phoneticPr fontId="2" type="noConversion"/>
  </si>
  <si>
    <t>参比浓度:</t>
    <phoneticPr fontId="2" type="noConversion"/>
  </si>
  <si>
    <t>稀释倍数:</t>
    <phoneticPr fontId="2" type="noConversion"/>
  </si>
  <si>
    <r>
      <t>红框内为可修改区</t>
    </r>
    <r>
      <rPr>
        <b/>
        <sz val="12"/>
        <rFont val="微软雅黑"/>
        <family val="2"/>
        <charset val="134"/>
      </rPr>
      <t>:</t>
    </r>
    <phoneticPr fontId="2" type="noConversion"/>
  </si>
  <si>
    <r>
      <rPr>
        <sz val="10"/>
        <rFont val="宋体"/>
        <family val="3"/>
        <charset val="134"/>
      </rPr>
      <t>滴度</t>
    </r>
    <r>
      <rPr>
        <sz val="10"/>
        <rFont val="Times New Roman"/>
        <family val="1"/>
      </rPr>
      <t>1</t>
    </r>
    <phoneticPr fontId="2" type="noConversion"/>
  </si>
  <si>
    <t>滴度2</t>
    <phoneticPr fontId="2" type="noConversion"/>
  </si>
  <si>
    <t>滴度3</t>
    <phoneticPr fontId="2" type="noConversion"/>
  </si>
  <si>
    <t>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</si>
</sst>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0"/>
    <numFmt numFmtId="178" formatCode="0.000"/>
    <numFmt numFmtId="179" formatCode="0.0_ "/>
    <numFmt numFmtId="180" formatCode="0.0"/>
  </numFmts>
  <fonts count="17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4"/>
      <color indexed="10"/>
      <name val="Times New Roman"/>
      <family val="1"/>
      <charset val="134"/>
    </font>
    <font>
      <sz val="12"/>
      <color indexed="9"/>
      <name val="Times New Roman"/>
      <family val="1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10"/>
      <color theme="0"/>
      <name val="宋体"/>
      <family val="3"/>
      <charset val="134"/>
    </font>
    <font>
      <b/>
      <sz val="10"/>
      <color theme="0"/>
      <name val="宋体"/>
      <family val="3"/>
      <charset val="134"/>
      <scheme val="minor"/>
    </font>
    <font>
      <b/>
      <sz val="10"/>
      <color theme="0"/>
      <name val="Arial"/>
      <family val="2"/>
    </font>
    <font>
      <b/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dashDot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/>
    <xf numFmtId="178" fontId="4" fillId="0" borderId="0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76" fontId="3" fillId="0" borderId="1" xfId="0" applyNumberFormat="1" applyFont="1" applyBorder="1" applyAlignment="1">
      <alignment horizontal="left"/>
    </xf>
    <xf numFmtId="176" fontId="3" fillId="0" borderId="2" xfId="0" applyNumberFormat="1" applyFont="1" applyBorder="1" applyAlignment="1">
      <alignment horizontal="left"/>
    </xf>
    <xf numFmtId="0" fontId="3" fillId="2" borderId="8" xfId="0" applyNumberFormat="1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left"/>
    </xf>
    <xf numFmtId="177" fontId="3" fillId="0" borderId="3" xfId="0" applyNumberFormat="1" applyFont="1" applyFill="1" applyBorder="1" applyAlignment="1">
      <alignment horizontal="left"/>
    </xf>
    <xf numFmtId="0" fontId="3" fillId="2" borderId="6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178" fontId="3" fillId="2" borderId="1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1" xfId="0" applyNumberFormat="1" applyFont="1" applyFill="1" applyBorder="1" applyAlignment="1">
      <alignment horizontal="left"/>
    </xf>
    <xf numFmtId="0" fontId="3" fillId="2" borderId="9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0" fontId="3" fillId="2" borderId="17" xfId="0" applyNumberFormat="1" applyFont="1" applyFill="1" applyBorder="1" applyAlignment="1">
      <alignment horizontal="center"/>
    </xf>
    <xf numFmtId="0" fontId="3" fillId="3" borderId="18" xfId="0" applyNumberFormat="1" applyFont="1" applyFill="1" applyBorder="1" applyAlignment="1">
      <alignment horizontal="left"/>
    </xf>
    <xf numFmtId="178" fontId="4" fillId="0" borderId="15" xfId="0" applyNumberFormat="1" applyFont="1" applyBorder="1" applyAlignment="1">
      <alignment horizontal="center" vertical="center"/>
    </xf>
    <xf numFmtId="0" fontId="3" fillId="2" borderId="19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3" borderId="20" xfId="0" applyNumberFormat="1" applyFont="1" applyFill="1" applyBorder="1" applyAlignment="1">
      <alignment horizontal="left"/>
    </xf>
    <xf numFmtId="0" fontId="3" fillId="3" borderId="21" xfId="0" applyNumberFormat="1" applyFont="1" applyFill="1" applyBorder="1" applyAlignment="1">
      <alignment horizontal="left"/>
    </xf>
    <xf numFmtId="0" fontId="0" fillId="0" borderId="15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179" fontId="3" fillId="5" borderId="16" xfId="0" applyNumberFormat="1" applyFont="1" applyFill="1" applyBorder="1" applyAlignment="1">
      <alignment horizontal="center"/>
    </xf>
    <xf numFmtId="179" fontId="3" fillId="5" borderId="4" xfId="0" applyNumberFormat="1" applyFont="1" applyFill="1" applyBorder="1" applyAlignment="1">
      <alignment horizontal="center"/>
    </xf>
    <xf numFmtId="179" fontId="3" fillId="5" borderId="5" xfId="0" applyNumberFormat="1" applyFont="1" applyFill="1" applyBorder="1" applyAlignment="1">
      <alignment horizontal="center"/>
    </xf>
    <xf numFmtId="179" fontId="10" fillId="6" borderId="7" xfId="0" applyNumberFormat="1" applyFont="1" applyFill="1" applyBorder="1" applyAlignment="1">
      <alignment horizontal="center"/>
    </xf>
    <xf numFmtId="179" fontId="10" fillId="6" borderId="8" xfId="0" applyNumberFormat="1" applyFont="1" applyFill="1" applyBorder="1" applyAlignment="1">
      <alignment horizontal="center"/>
    </xf>
    <xf numFmtId="178" fontId="9" fillId="8" borderId="7" xfId="0" applyNumberFormat="1" applyFont="1" applyFill="1" applyBorder="1" applyAlignment="1">
      <alignment horizontal="center" vertical="center"/>
    </xf>
    <xf numFmtId="178" fontId="9" fillId="8" borderId="22" xfId="0" applyNumberFormat="1" applyFont="1" applyFill="1" applyBorder="1" applyAlignment="1">
      <alignment horizontal="center" vertical="center"/>
    </xf>
    <xf numFmtId="178" fontId="9" fillId="8" borderId="23" xfId="0" applyNumberFormat="1" applyFont="1" applyFill="1" applyBorder="1" applyAlignment="1">
      <alignment horizontal="center" vertical="center"/>
    </xf>
    <xf numFmtId="178" fontId="9" fillId="8" borderId="8" xfId="0" applyNumberFormat="1" applyFont="1" applyFill="1" applyBorder="1" applyAlignment="1">
      <alignment horizontal="center" vertical="center"/>
    </xf>
    <xf numFmtId="178" fontId="9" fillId="8" borderId="6" xfId="0" applyNumberFormat="1" applyFont="1" applyFill="1" applyBorder="1" applyAlignment="1">
      <alignment horizontal="center" vertical="center"/>
    </xf>
    <xf numFmtId="178" fontId="9" fillId="8" borderId="24" xfId="0" applyNumberFormat="1" applyFont="1" applyFill="1" applyBorder="1" applyAlignment="1">
      <alignment horizontal="center" vertical="center"/>
    </xf>
    <xf numFmtId="178" fontId="9" fillId="8" borderId="25" xfId="0" applyNumberFormat="1" applyFont="1" applyFill="1" applyBorder="1" applyAlignment="1">
      <alignment horizontal="center" vertical="center"/>
    </xf>
    <xf numFmtId="178" fontId="9" fillId="8" borderId="26" xfId="0" applyNumberFormat="1" applyFont="1" applyFill="1" applyBorder="1" applyAlignment="1">
      <alignment horizontal="center" vertical="center"/>
    </xf>
    <xf numFmtId="178" fontId="9" fillId="8" borderId="27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11" fillId="9" borderId="14" xfId="0" applyNumberFormat="1" applyFont="1" applyFill="1" applyBorder="1" applyAlignment="1">
      <alignment horizontal="right" vertical="center"/>
    </xf>
    <xf numFmtId="0" fontId="11" fillId="9" borderId="15" xfId="0" applyNumberFormat="1" applyFont="1" applyFill="1" applyBorder="1" applyAlignment="1">
      <alignment horizontal="right"/>
    </xf>
    <xf numFmtId="0" fontId="12" fillId="9" borderId="15" xfId="0" applyNumberFormat="1" applyFont="1" applyFill="1" applyBorder="1" applyAlignment="1">
      <alignment horizontal="right" vertical="center"/>
    </xf>
    <xf numFmtId="0" fontId="13" fillId="9" borderId="15" xfId="0" applyNumberFormat="1" applyFont="1" applyFill="1" applyBorder="1" applyAlignment="1">
      <alignment horizontal="right" vertical="center"/>
    </xf>
    <xf numFmtId="0" fontId="11" fillId="9" borderId="16" xfId="0" applyNumberFormat="1" applyFont="1" applyFill="1" applyBorder="1" applyAlignment="1">
      <alignment horizontal="right" vertical="center"/>
    </xf>
    <xf numFmtId="0" fontId="0" fillId="0" borderId="28" xfId="0" applyNumberFormat="1" applyBorder="1" applyAlignment="1">
      <alignment horizontal="center"/>
    </xf>
    <xf numFmtId="0" fontId="0" fillId="0" borderId="29" xfId="0" applyNumberFormat="1" applyBorder="1" applyAlignment="1">
      <alignment horizontal="center"/>
    </xf>
    <xf numFmtId="178" fontId="4" fillId="0" borderId="30" xfId="0" applyNumberFormat="1" applyFont="1" applyBorder="1" applyAlignment="1">
      <alignment horizontal="center" vertical="center"/>
    </xf>
    <xf numFmtId="1" fontId="6" fillId="4" borderId="31" xfId="0" applyNumberFormat="1" applyFont="1" applyFill="1" applyBorder="1" applyAlignment="1">
      <alignment horizontal="center" vertical="center"/>
    </xf>
    <xf numFmtId="1" fontId="6" fillId="4" borderId="32" xfId="0" applyNumberFormat="1" applyFont="1" applyFill="1" applyBorder="1" applyAlignment="1">
      <alignment horizontal="center" vertical="center"/>
    </xf>
    <xf numFmtId="1" fontId="6" fillId="4" borderId="33" xfId="0" applyNumberFormat="1" applyFont="1" applyFill="1" applyBorder="1" applyAlignment="1">
      <alignment horizontal="center" vertical="center"/>
    </xf>
    <xf numFmtId="1" fontId="6" fillId="4" borderId="34" xfId="0" applyNumberFormat="1" applyFont="1" applyFill="1" applyBorder="1" applyAlignment="1">
      <alignment horizontal="center" vertical="center"/>
    </xf>
    <xf numFmtId="178" fontId="4" fillId="0" borderId="35" xfId="0" applyNumberFormat="1" applyFont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178" fontId="4" fillId="0" borderId="37" xfId="0" applyNumberFormat="1" applyFont="1" applyBorder="1" applyAlignment="1">
      <alignment horizontal="center" vertical="center"/>
    </xf>
    <xf numFmtId="178" fontId="4" fillId="0" borderId="38" xfId="0" applyNumberFormat="1" applyFont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left"/>
    </xf>
    <xf numFmtId="0" fontId="0" fillId="0" borderId="39" xfId="0" applyNumberFormat="1" applyBorder="1" applyAlignment="1">
      <alignment horizontal="left"/>
    </xf>
    <xf numFmtId="0" fontId="3" fillId="3" borderId="14" xfId="0" applyNumberFormat="1" applyFont="1" applyFill="1" applyBorder="1" applyAlignment="1">
      <alignment horizontal="center"/>
    </xf>
    <xf numFmtId="180" fontId="16" fillId="0" borderId="14" xfId="0" applyNumberFormat="1" applyFont="1" applyBorder="1" applyAlignment="1">
      <alignment horizontal="center" vertical="center"/>
    </xf>
    <xf numFmtId="180" fontId="16" fillId="0" borderId="1" xfId="0" applyNumberFormat="1" applyFont="1" applyBorder="1" applyAlignment="1">
      <alignment horizontal="center" vertical="center"/>
    </xf>
    <xf numFmtId="180" fontId="16" fillId="0" borderId="2" xfId="0" applyNumberFormat="1" applyFont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center"/>
    </xf>
    <xf numFmtId="180" fontId="16" fillId="0" borderId="15" xfId="0" applyNumberFormat="1" applyFont="1" applyBorder="1" applyAlignment="1">
      <alignment horizontal="center" vertical="center"/>
    </xf>
    <xf numFmtId="180" fontId="16" fillId="0" borderId="0" xfId="0" applyNumberFormat="1" applyFont="1" applyBorder="1" applyAlignment="1">
      <alignment horizontal="center" vertical="center"/>
    </xf>
    <xf numFmtId="180" fontId="16" fillId="0" borderId="3" xfId="0" applyNumberFormat="1" applyFont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/>
    </xf>
    <xf numFmtId="0" fontId="3" fillId="3" borderId="16" xfId="0" applyNumberFormat="1" applyFont="1" applyFill="1" applyBorder="1" applyAlignment="1">
      <alignment horizontal="center"/>
    </xf>
    <xf numFmtId="2" fontId="4" fillId="0" borderId="1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31082300871356"/>
          <c:y val="9.0099831271091099E-2"/>
          <c:w val="0.82163742690058494"/>
          <c:h val="0.8617511520737329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1706190234992557E-2"/>
                  <c:y val="0.5490530276635774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>
                      <a:latin typeface="Times New Roman" pitchFamily="18" charset="0"/>
                      <a:cs typeface="Times New Roman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Sheet1!$C$6:$H$6</c:f>
              <c:numCache>
                <c:formatCode>General</c:formatCode>
                <c:ptCount val="6"/>
                <c:pt idx="0">
                  <c:v>-0.43179827593300502</c:v>
                </c:pt>
                <c:pt idx="1">
                  <c:v>-0.60788953498868625</c:v>
                </c:pt>
                <c:pt idx="2">
                  <c:v>-0.78398079404436749</c:v>
                </c:pt>
                <c:pt idx="3">
                  <c:v>-0.96007205310004873</c:v>
                </c:pt>
                <c:pt idx="4">
                  <c:v>-1.13616331215573</c:v>
                </c:pt>
                <c:pt idx="5">
                  <c:v>-1.3122545712114111</c:v>
                </c:pt>
              </c:numCache>
            </c:numRef>
          </c:xVal>
          <c:yVal>
            <c:numRef>
              <c:f>Sheet1!$C$7:$H$7</c:f>
              <c:numCache>
                <c:formatCode>General</c:formatCode>
                <c:ptCount val="6"/>
                <c:pt idx="0">
                  <c:v>0.20235206780975151</c:v>
                </c:pt>
                <c:pt idx="1">
                  <c:v>7.2433725968387819E-2</c:v>
                </c:pt>
                <c:pt idx="2">
                  <c:v>-2.090709936167361E-2</c:v>
                </c:pt>
                <c:pt idx="3">
                  <c:v>-0.16557929631846741</c:v>
                </c:pt>
                <c:pt idx="4">
                  <c:v>-0.32330639037513342</c:v>
                </c:pt>
                <c:pt idx="5">
                  <c:v>-0.50237935021871227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24672"/>
        <c:axId val="210926208"/>
      </c:scatterChart>
      <c:valAx>
        <c:axId val="21092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210926208"/>
        <c:crosses val="autoZero"/>
        <c:crossBetween val="midCat"/>
      </c:valAx>
      <c:valAx>
        <c:axId val="210926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924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</xdr:row>
      <xdr:rowOff>38100</xdr:rowOff>
    </xdr:from>
    <xdr:to>
      <xdr:col>18</xdr:col>
      <xdr:colOff>277489</xdr:colOff>
      <xdr:row>14</xdr:row>
      <xdr:rowOff>66675</xdr:rowOff>
    </xdr:to>
    <xdr:graphicFrame macro="">
      <xdr:nvGraphicFramePr>
        <xdr:cNvPr id="2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H16" sqref="H16"/>
    </sheetView>
  </sheetViews>
  <sheetFormatPr defaultRowHeight="12.95" customHeight="1" x14ac:dyDescent="0.2"/>
  <cols>
    <col min="1" max="1" width="19.42578125" style="2" bestFit="1" customWidth="1"/>
    <col min="2" max="12" width="8.7109375" style="2" customWidth="1"/>
    <col min="13" max="16384" width="9.140625" style="2"/>
  </cols>
  <sheetData>
    <row r="1" spans="2:24" ht="12.95" customHeight="1" x14ac:dyDescent="0.2">
      <c r="B1" s="3"/>
      <c r="C1" s="82" t="str">
        <f>B38&amp;"、"&amp;B39&amp;"倍计算模板-HPV16"</f>
        <v>500、2500倍计算模板-HPV16</v>
      </c>
      <c r="D1" s="82"/>
      <c r="E1" s="82"/>
      <c r="F1" s="82"/>
      <c r="G1" s="82"/>
      <c r="H1" s="82"/>
      <c r="I1" s="82"/>
      <c r="J1" s="82"/>
      <c r="K1" s="7"/>
      <c r="L1" s="7"/>
    </row>
    <row r="2" spans="2:24" ht="12.95" customHeight="1" x14ac:dyDescent="0.2">
      <c r="B2" s="8"/>
      <c r="C2" s="82"/>
      <c r="D2" s="82"/>
      <c r="E2" s="82"/>
      <c r="F2" s="82"/>
      <c r="G2" s="82"/>
      <c r="H2" s="82"/>
      <c r="I2" s="82"/>
      <c r="J2" s="82"/>
      <c r="K2" s="7"/>
      <c r="L2" s="7"/>
    </row>
    <row r="3" spans="2:24" ht="12.95" customHeight="1" thickBo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2:24" s="1" customFormat="1" ht="12.95" customHeight="1" x14ac:dyDescent="0.2">
      <c r="B4" s="6" t="s">
        <v>5</v>
      </c>
      <c r="C4" s="18">
        <f>B36</f>
        <v>0.37</v>
      </c>
      <c r="D4" s="18">
        <f t="shared" ref="D4:H4" si="0">C4/$B$37</f>
        <v>0.24666666666666667</v>
      </c>
      <c r="E4" s="18">
        <f t="shared" si="0"/>
        <v>0.16444444444444445</v>
      </c>
      <c r="F4" s="18">
        <f t="shared" si="0"/>
        <v>0.10962962962962963</v>
      </c>
      <c r="G4" s="18">
        <f t="shared" si="0"/>
        <v>7.3086419753086426E-2</v>
      </c>
      <c r="H4" s="18">
        <f t="shared" si="0"/>
        <v>4.8724279835390953E-2</v>
      </c>
      <c r="I4" s="18"/>
      <c r="J4" s="9"/>
      <c r="K4" s="9"/>
      <c r="L4" s="10"/>
    </row>
    <row r="5" spans="2:24" s="1" customFormat="1" ht="12.95" customHeight="1" x14ac:dyDescent="0.2">
      <c r="B5" s="11" t="s">
        <v>3</v>
      </c>
      <c r="C5" s="12">
        <f t="shared" ref="C5:H5" si="1">AVERAGE(C29:C30)</f>
        <v>1.5935000000000001</v>
      </c>
      <c r="D5" s="12">
        <f t="shared" si="1"/>
        <v>1.1815</v>
      </c>
      <c r="E5" s="12">
        <f t="shared" si="1"/>
        <v>0.95299999999999996</v>
      </c>
      <c r="F5" s="12">
        <f t="shared" si="1"/>
        <v>0.68300000000000005</v>
      </c>
      <c r="G5" s="12">
        <f t="shared" si="1"/>
        <v>0.47499999999999998</v>
      </c>
      <c r="H5" s="12">
        <f t="shared" si="1"/>
        <v>0.3145</v>
      </c>
      <c r="I5" s="12"/>
      <c r="J5" s="13"/>
      <c r="K5" s="13"/>
      <c r="L5" s="14"/>
    </row>
    <row r="6" spans="2:24" ht="12.95" customHeight="1" x14ac:dyDescent="0.2">
      <c r="B6" s="11" t="s">
        <v>6</v>
      </c>
      <c r="C6" s="15">
        <f t="shared" ref="C6:H7" si="2">LOG(C4)</f>
        <v>-0.43179827593300502</v>
      </c>
      <c r="D6" s="15">
        <f t="shared" si="2"/>
        <v>-0.60788953498868625</v>
      </c>
      <c r="E6" s="15">
        <f t="shared" si="2"/>
        <v>-0.78398079404436749</v>
      </c>
      <c r="F6" s="15">
        <f t="shared" si="2"/>
        <v>-0.96007205310004873</v>
      </c>
      <c r="G6" s="15">
        <f t="shared" si="2"/>
        <v>-1.13616331215573</v>
      </c>
      <c r="H6" s="15">
        <f t="shared" si="2"/>
        <v>-1.3122545712114111</v>
      </c>
      <c r="I6" s="15"/>
      <c r="J6" s="16"/>
      <c r="K6" s="16"/>
      <c r="L6" s="17"/>
    </row>
    <row r="7" spans="2:24" ht="12.95" customHeight="1" x14ac:dyDescent="0.2">
      <c r="B7" s="11" t="s">
        <v>0</v>
      </c>
      <c r="C7" s="15">
        <f t="shared" si="2"/>
        <v>0.20235206780975151</v>
      </c>
      <c r="D7" s="15">
        <f t="shared" si="2"/>
        <v>7.2433725968387819E-2</v>
      </c>
      <c r="E7" s="15">
        <f t="shared" si="2"/>
        <v>-2.090709936167361E-2</v>
      </c>
      <c r="F7" s="15">
        <f t="shared" si="2"/>
        <v>-0.16557929631846741</v>
      </c>
      <c r="G7" s="15">
        <f t="shared" si="2"/>
        <v>-0.32330639037513342</v>
      </c>
      <c r="H7" s="15">
        <f t="shared" si="2"/>
        <v>-0.50237935021871227</v>
      </c>
      <c r="I7" s="15"/>
      <c r="J7" s="16"/>
      <c r="K7" s="16"/>
      <c r="L7" s="17"/>
    </row>
    <row r="8" spans="2:24" ht="12.95" customHeight="1" thickBot="1" x14ac:dyDescent="0.25">
      <c r="B8" s="20" t="s">
        <v>4</v>
      </c>
      <c r="C8" s="21" t="s">
        <v>1</v>
      </c>
      <c r="D8" s="22">
        <f>ROUND(SLOPE(C7:I7,C6:I6),4)</f>
        <v>0.78779999999999994</v>
      </c>
      <c r="E8" s="22" t="s">
        <v>2</v>
      </c>
      <c r="F8" s="23">
        <f>ROUND(INTERCEPT(C7:I7,C6:I6),4)</f>
        <v>0.56410000000000005</v>
      </c>
      <c r="G8" s="22" t="s">
        <v>27</v>
      </c>
      <c r="H8" s="23">
        <f>ROUND(RSQ(C7:I7,C6:I6),4)</f>
        <v>0.98960000000000004</v>
      </c>
      <c r="I8" s="16"/>
      <c r="J8" s="16"/>
      <c r="K8" s="16"/>
      <c r="L8" s="17"/>
      <c r="M8" s="30"/>
    </row>
    <row r="9" spans="2:24" ht="12.95" customHeight="1" thickBot="1" x14ac:dyDescent="0.25">
      <c r="B9" s="24" t="str">
        <f>$B$38&amp;$C$38</f>
        <v>500倍OD</v>
      </c>
      <c r="C9" s="37">
        <f>C27</f>
        <v>2.9340000000000002</v>
      </c>
      <c r="D9" s="38">
        <f t="shared" ref="D9:L9" si="3">D27</f>
        <v>2.544</v>
      </c>
      <c r="E9" s="38">
        <f t="shared" si="3"/>
        <v>2.2850000000000001</v>
      </c>
      <c r="F9" s="38">
        <f t="shared" si="3"/>
        <v>1.7569999999999999</v>
      </c>
      <c r="G9" s="38">
        <f t="shared" si="3"/>
        <v>1.413</v>
      </c>
      <c r="H9" s="38">
        <f t="shared" si="3"/>
        <v>1.827</v>
      </c>
      <c r="I9" s="38">
        <f t="shared" si="3"/>
        <v>2.5000000000000001E-2</v>
      </c>
      <c r="J9" s="38">
        <f t="shared" si="3"/>
        <v>0.40699999999999997</v>
      </c>
      <c r="K9" s="38">
        <f t="shared" si="3"/>
        <v>2.2309999999999999</v>
      </c>
      <c r="L9" s="39">
        <f t="shared" si="3"/>
        <v>2.4060000000000001</v>
      </c>
      <c r="M9" s="31"/>
    </row>
    <row r="10" spans="2:24" ht="12.95" customHeight="1" thickBot="1" x14ac:dyDescent="0.25">
      <c r="B10" s="24" t="str">
        <f>$B$39&amp;$C$39</f>
        <v>2500倍OD</v>
      </c>
      <c r="C10" s="40">
        <f>C28</f>
        <v>0.93600000000000005</v>
      </c>
      <c r="D10" s="41">
        <f t="shared" ref="D10:L10" si="4">D28</f>
        <v>0.71099999999999997</v>
      </c>
      <c r="E10" s="41">
        <f t="shared" si="4"/>
        <v>0.501</v>
      </c>
      <c r="F10" s="41">
        <f t="shared" si="4"/>
        <v>0.311</v>
      </c>
      <c r="G10" s="41">
        <f t="shared" si="4"/>
        <v>0.193</v>
      </c>
      <c r="H10" s="41">
        <f t="shared" si="4"/>
        <v>0.26500000000000001</v>
      </c>
      <c r="I10" s="41">
        <f t="shared" si="4"/>
        <v>-1.6E-2</v>
      </c>
      <c r="J10" s="41">
        <f t="shared" si="4"/>
        <v>2E-3</v>
      </c>
      <c r="K10" s="41">
        <f t="shared" si="4"/>
        <v>0.53800000000000003</v>
      </c>
      <c r="L10" s="42">
        <f t="shared" si="4"/>
        <v>0.56000000000000005</v>
      </c>
      <c r="M10" s="31"/>
      <c r="N10" s="31"/>
    </row>
    <row r="11" spans="2:24" ht="12.95" customHeight="1" thickBot="1" x14ac:dyDescent="0.25">
      <c r="B11" s="24" t="str">
        <f>$B$38&amp;$C$38</f>
        <v>500倍OD</v>
      </c>
      <c r="C11" s="40">
        <f t="shared" ref="C11:L11" si="5">C31</f>
        <v>2.2839999999999998</v>
      </c>
      <c r="D11" s="41">
        <f t="shared" si="5"/>
        <v>3.5169999999999999</v>
      </c>
      <c r="E11" s="41">
        <f t="shared" si="5"/>
        <v>1.96</v>
      </c>
      <c r="F11" s="41">
        <f t="shared" si="5"/>
        <v>2.9430000000000001</v>
      </c>
      <c r="G11" s="41">
        <f t="shared" si="5"/>
        <v>3.1960000000000002</v>
      </c>
      <c r="H11" s="41">
        <f t="shared" si="5"/>
        <v>2.3690000000000002</v>
      </c>
      <c r="I11" s="41">
        <f t="shared" si="5"/>
        <v>2.0390000000000001</v>
      </c>
      <c r="J11" s="41">
        <f t="shared" si="5"/>
        <v>1.4219999999999999</v>
      </c>
      <c r="K11" s="41">
        <f t="shared" si="5"/>
        <v>3.0459999999999998</v>
      </c>
      <c r="L11" s="42">
        <f t="shared" si="5"/>
        <v>1.5429999999999999</v>
      </c>
      <c r="M11" s="31"/>
    </row>
    <row r="12" spans="2:24" ht="12.95" customHeight="1" thickBot="1" x14ac:dyDescent="0.25">
      <c r="B12" s="24" t="str">
        <f>$B$39&amp;$C$39</f>
        <v>2500倍OD</v>
      </c>
      <c r="C12" s="40">
        <f t="shared" ref="C12:L12" si="6">C32</f>
        <v>0.53500000000000003</v>
      </c>
      <c r="D12" s="41">
        <f t="shared" si="6"/>
        <v>2.0409999999999999</v>
      </c>
      <c r="E12" s="41">
        <f t="shared" si="6"/>
        <v>0.43099999999999999</v>
      </c>
      <c r="F12" s="41">
        <f t="shared" si="6"/>
        <v>1.121</v>
      </c>
      <c r="G12" s="41">
        <f t="shared" si="6"/>
        <v>1.8879999999999999</v>
      </c>
      <c r="H12" s="41">
        <f t="shared" si="6"/>
        <v>0.66100000000000003</v>
      </c>
      <c r="I12" s="41">
        <f t="shared" si="6"/>
        <v>0.41299999999999998</v>
      </c>
      <c r="J12" s="41">
        <f t="shared" si="6"/>
        <v>0.18099999999999999</v>
      </c>
      <c r="K12" s="41">
        <f t="shared" si="6"/>
        <v>0.94699999999999995</v>
      </c>
      <c r="L12" s="42">
        <f t="shared" si="6"/>
        <v>0.30099999999999999</v>
      </c>
      <c r="M12" s="31"/>
    </row>
    <row r="13" spans="2:24" ht="12.95" customHeight="1" thickBot="1" x14ac:dyDescent="0.25">
      <c r="B13" s="24" t="str">
        <f>$B$38&amp;$C$38</f>
        <v>500倍OD</v>
      </c>
      <c r="C13" s="40">
        <f>C33</f>
        <v>2.4260000000000002</v>
      </c>
      <c r="D13" s="41">
        <f t="shared" ref="D13:L13" si="7">D33</f>
        <v>2.141</v>
      </c>
      <c r="E13" s="41">
        <f t="shared" si="7"/>
        <v>2.504</v>
      </c>
      <c r="F13" s="41">
        <f t="shared" si="7"/>
        <v>2.5750000000000002</v>
      </c>
      <c r="G13" s="41">
        <f t="shared" si="7"/>
        <v>2.4209999999999998</v>
      </c>
      <c r="H13" s="41">
        <f t="shared" si="7"/>
        <v>2.2749999999999999</v>
      </c>
      <c r="I13" s="41">
        <f t="shared" si="7"/>
        <v>2.9089999999999998</v>
      </c>
      <c r="J13" s="41">
        <f t="shared" si="7"/>
        <v>3.012</v>
      </c>
      <c r="K13" s="41">
        <f t="shared" si="7"/>
        <v>1.64</v>
      </c>
      <c r="L13" s="42">
        <f t="shared" si="7"/>
        <v>3.1890000000000001</v>
      </c>
      <c r="M13" s="31"/>
    </row>
    <row r="14" spans="2:24" ht="12.95" customHeight="1" thickBot="1" x14ac:dyDescent="0.25">
      <c r="B14" s="29" t="str">
        <f>$B$39&amp;$C$39</f>
        <v>2500倍OD</v>
      </c>
      <c r="C14" s="43">
        <f>C34</f>
        <v>0.56999999999999995</v>
      </c>
      <c r="D14" s="44">
        <f t="shared" ref="D14:L14" si="8">D34</f>
        <v>0.53600000000000003</v>
      </c>
      <c r="E14" s="44">
        <f t="shared" si="8"/>
        <v>0.63300000000000001</v>
      </c>
      <c r="F14" s="44">
        <f t="shared" si="8"/>
        <v>0.69099999999999995</v>
      </c>
      <c r="G14" s="44">
        <f t="shared" si="8"/>
        <v>0.60399999999999998</v>
      </c>
      <c r="H14" s="44">
        <f t="shared" si="8"/>
        <v>0.432</v>
      </c>
      <c r="I14" s="44">
        <f t="shared" si="8"/>
        <v>0.998</v>
      </c>
      <c r="J14" s="44">
        <f t="shared" si="8"/>
        <v>1.1519999999999999</v>
      </c>
      <c r="K14" s="44">
        <f t="shared" si="8"/>
        <v>0.30599999999999999</v>
      </c>
      <c r="L14" s="45">
        <f t="shared" si="8"/>
        <v>1.3240000000000001</v>
      </c>
      <c r="M14" s="31"/>
    </row>
    <row r="15" spans="2:24" ht="12.95" customHeight="1" thickBot="1" x14ac:dyDescent="0.25">
      <c r="B15" s="28" t="s">
        <v>8</v>
      </c>
      <c r="C15" s="25">
        <f>AVERAGE(I29:K30)</f>
        <v>0.37916666666666665</v>
      </c>
      <c r="D15" s="4"/>
      <c r="E15" s="4"/>
      <c r="F15" s="4"/>
      <c r="G15" s="4"/>
      <c r="H15" s="4"/>
      <c r="I15" s="4"/>
      <c r="J15" s="4"/>
      <c r="K15" s="4"/>
      <c r="L15" s="5"/>
      <c r="M15" s="30"/>
    </row>
    <row r="16" spans="2:24" ht="12.95" customHeight="1" x14ac:dyDescent="0.2">
      <c r="B16" s="19" t="str">
        <f>$B$38&amp;$C$38</f>
        <v>500倍OD</v>
      </c>
      <c r="C16" s="35" t="str">
        <f>IF(C9&gt;C10,IF(AND(C9&lt;$C$5,C10&gt;$H$5),POWER(10,(LOG(C9)-$F$8)/$D$8)*LEFT($B9,LEN($B9)-3),IF(AND(C9&gt;$C$5,C10&gt;$C$5),"ERROR",IF(AND(C9&gt;$C$5,C10&lt;$H$5),"ERROR",IF(AND(C9&lt;$H$5,C10&lt;$H$5),"0",IF(AND(C9&lt;$C$5,C10&lt;$H$5),POWER(10,(LOG(C9)-$F$8)/$D$8)*LEFT($B9,LEN($B9)-3),""))))),"ERROR")</f>
        <v/>
      </c>
      <c r="D16" s="35" t="str">
        <f t="shared" ref="D16:L16" si="9">IF(D9&gt;D10,IF(AND(D9&lt;$C$5,D10&gt;$H$5),POWER(10,(LOG(D9)-$F$8)/$D$8)*LEFT($B9,LEN($B9)-3),IF(AND(D9&gt;$C$5,D10&gt;$C$5),"ERROR",IF(AND(D9&gt;$C$5,D10&lt;$H$5),"ERROR",IF(AND(D9&lt;$H$5,D10&lt;$H$5),"0",IF(AND(D9&lt;$C$5,D10&lt;$H$5),POWER(10,(LOG(D9)-$F$8)/$D$8)*LEFT($B9,LEN($B9)-3),""))))),"ERROR")</f>
        <v/>
      </c>
      <c r="E16" s="35" t="str">
        <f t="shared" si="9"/>
        <v/>
      </c>
      <c r="F16" s="35" t="str">
        <f t="shared" si="9"/>
        <v>ERROR</v>
      </c>
      <c r="G16" s="35">
        <f t="shared" si="9"/>
        <v>149.11091421861377</v>
      </c>
      <c r="H16" s="35" t="str">
        <f t="shared" si="9"/>
        <v>ERROR</v>
      </c>
      <c r="I16" s="35" t="str">
        <f t="shared" si="9"/>
        <v>0</v>
      </c>
      <c r="J16" s="35">
        <f t="shared" si="9"/>
        <v>30.715739679330088</v>
      </c>
      <c r="K16" s="35" t="str">
        <f t="shared" si="9"/>
        <v/>
      </c>
      <c r="L16" s="35" t="str">
        <f t="shared" si="9"/>
        <v/>
      </c>
      <c r="N16" s="68" t="s">
        <v>24</v>
      </c>
      <c r="O16" s="69">
        <f>IF(AND(ISNUMBER(C16),C16&lt;&gt;0),C16,C17)</f>
        <v>442.01204535943799</v>
      </c>
      <c r="P16" s="70">
        <f t="shared" ref="P16:X16" si="10">IF(AND(ISNUMBER(D16),D16&lt;&gt;0),D16,D17)</f>
        <v>311.79192519998884</v>
      </c>
      <c r="Q16" s="70">
        <f t="shared" si="10"/>
        <v>199.93187175627466</v>
      </c>
      <c r="R16" s="70" t="str">
        <f t="shared" si="10"/>
        <v>ERROR</v>
      </c>
      <c r="S16" s="70">
        <f t="shared" si="10"/>
        <v>149.11091421861377</v>
      </c>
      <c r="T16" s="70" t="str">
        <f t="shared" si="10"/>
        <v>ERROR</v>
      </c>
      <c r="U16" s="70" t="str">
        <f t="shared" si="10"/>
        <v>0</v>
      </c>
      <c r="V16" s="70">
        <f t="shared" si="10"/>
        <v>30.715739679330088</v>
      </c>
      <c r="W16" s="70">
        <f t="shared" si="10"/>
        <v>218.85765147787396</v>
      </c>
      <c r="X16" s="71">
        <f t="shared" si="10"/>
        <v>230.27980824777384</v>
      </c>
    </row>
    <row r="17" spans="1:24" ht="12.95" customHeight="1" thickBot="1" x14ac:dyDescent="0.25">
      <c r="B17" s="19" t="str">
        <f>$B$39&amp;$C$39</f>
        <v>2500倍OD</v>
      </c>
      <c r="C17" s="36">
        <f>IF(C9&gt;C10,IF(AND(C9&lt;$C$5,C10&gt;$H$5),"",IF(AND(C9&gt;$C$5,C10&gt;$C$5),"ERROR",IF(AND(C9&gt;$C$5,C10&lt;$H$5),"ERROR",IF(AND(C9&lt;$H$5,C10&lt;$H$5),"0",IF(AND(C9&gt;$C$5,C10&gt;$H$5),POWER(10,(LOG(C10)-$F$8)/$D$8)*LEFT($B10,LEN($B10)-3),""))))),"ERROR")</f>
        <v>442.01204535943799</v>
      </c>
      <c r="D17" s="36">
        <f t="shared" ref="D17:L17" si="11">IF(D9&gt;D10,IF(AND(D9&lt;$C$5,D10&gt;$H$5),"",IF(AND(D9&gt;$C$5,D10&gt;$C$5),"ERROR",IF(AND(D9&gt;$C$5,D10&lt;$H$5),"ERROR",IF(AND(D9&lt;$H$5,D10&lt;$H$5),"0",IF(AND(D9&gt;$C$5,D10&gt;$H$5),POWER(10,(LOG(D10)-$F$8)/$D$8)*LEFT($B10,LEN($B10)-3),""))))),"ERROR")</f>
        <v>311.79192519998884</v>
      </c>
      <c r="E17" s="36">
        <f t="shared" si="11"/>
        <v>199.93187175627466</v>
      </c>
      <c r="F17" s="36" t="str">
        <f t="shared" si="11"/>
        <v>ERROR</v>
      </c>
      <c r="G17" s="36" t="str">
        <f t="shared" si="11"/>
        <v/>
      </c>
      <c r="H17" s="36" t="str">
        <f t="shared" si="11"/>
        <v>ERROR</v>
      </c>
      <c r="I17" s="36" t="str">
        <f t="shared" si="11"/>
        <v>0</v>
      </c>
      <c r="J17" s="36" t="str">
        <f t="shared" si="11"/>
        <v/>
      </c>
      <c r="K17" s="36">
        <f t="shared" si="11"/>
        <v>218.85765147787396</v>
      </c>
      <c r="L17" s="36">
        <f t="shared" si="11"/>
        <v>230.27980824777384</v>
      </c>
      <c r="N17" s="72"/>
      <c r="O17" s="73"/>
      <c r="P17" s="74"/>
      <c r="Q17" s="74"/>
      <c r="R17" s="74"/>
      <c r="S17" s="74"/>
      <c r="T17" s="74"/>
      <c r="U17" s="74"/>
      <c r="V17" s="74"/>
      <c r="W17" s="74"/>
      <c r="X17" s="75"/>
    </row>
    <row r="18" spans="1:24" ht="12.95" customHeight="1" x14ac:dyDescent="0.2">
      <c r="B18" s="19" t="str">
        <f>$B$38&amp;$C$38</f>
        <v>500倍OD</v>
      </c>
      <c r="C18" s="35" t="str">
        <f t="shared" ref="C18:L18" si="12">IF(C11&gt;C12,IF(AND(C11&lt;$C$5,C12&gt;$H$5),POWER(10,(LOG(C11)-$F$8)/$D$8)*LEFT($B11,LEN($B11)-3),IF(AND(C11&gt;$C$5,C12&gt;$C$5),"ERROR",IF(AND(C11&gt;$C$5,C12&lt;$H$5),"ERROR",IF(AND(C11&lt;$H$5,C12&lt;$H$5),"0",IF(AND(C11&lt;$C$5,C12&lt;$H$5),POWER(10,(LOG(C11)-$F$8)/$D$8)*LEFT($B11,LEN($B11)-3),""))))),"ERROR")</f>
        <v/>
      </c>
      <c r="D18" s="35" t="str">
        <f t="shared" si="12"/>
        <v>ERROR</v>
      </c>
      <c r="E18" s="35" t="str">
        <f t="shared" si="12"/>
        <v/>
      </c>
      <c r="F18" s="35" t="str">
        <f t="shared" si="12"/>
        <v/>
      </c>
      <c r="G18" s="35" t="str">
        <f t="shared" si="12"/>
        <v>ERROR</v>
      </c>
      <c r="H18" s="35" t="str">
        <f t="shared" si="12"/>
        <v/>
      </c>
      <c r="I18" s="35" t="str">
        <f t="shared" si="12"/>
        <v/>
      </c>
      <c r="J18" s="35">
        <f t="shared" si="12"/>
        <v>150.31752060066194</v>
      </c>
      <c r="K18" s="35" t="str">
        <f t="shared" si="12"/>
        <v/>
      </c>
      <c r="L18" s="35">
        <f t="shared" si="12"/>
        <v>166.73587868017034</v>
      </c>
      <c r="N18" s="76" t="s">
        <v>25</v>
      </c>
      <c r="O18" s="73">
        <f t="shared" ref="O18:X18" si="13">IF(AND(ISNUMBER(C18),C18&lt;&gt;0),C18,C19)</f>
        <v>217.30969760076269</v>
      </c>
      <c r="P18" s="74" t="str">
        <f t="shared" si="13"/>
        <v>ERROR</v>
      </c>
      <c r="Q18" s="74">
        <f t="shared" si="13"/>
        <v>165.16432005642039</v>
      </c>
      <c r="R18" s="74">
        <f t="shared" si="13"/>
        <v>555.72840288962675</v>
      </c>
      <c r="S18" s="74" t="str">
        <f t="shared" si="13"/>
        <v>ERROR</v>
      </c>
      <c r="T18" s="74">
        <f t="shared" si="13"/>
        <v>284.2278726510641</v>
      </c>
      <c r="U18" s="74">
        <f t="shared" si="13"/>
        <v>156.45828528094748</v>
      </c>
      <c r="V18" s="74">
        <f t="shared" si="13"/>
        <v>150.31752060066194</v>
      </c>
      <c r="W18" s="74">
        <f t="shared" si="13"/>
        <v>448.61623981845503</v>
      </c>
      <c r="X18" s="75">
        <f t="shared" si="13"/>
        <v>166.73587868017034</v>
      </c>
    </row>
    <row r="19" spans="1:24" ht="12.95" customHeight="1" thickBot="1" x14ac:dyDescent="0.25">
      <c r="B19" s="19" t="str">
        <f>$B$39&amp;$C$39</f>
        <v>2500倍OD</v>
      </c>
      <c r="C19" s="36">
        <f t="shared" ref="C19:L19" si="14">IF(C11&gt;C12,IF(AND(C11&lt;$C$5,C12&gt;$H$5),"",IF(AND(C11&gt;$C$5,C12&gt;$C$5),"ERROR",IF(AND(C11&gt;$C$5,C12&lt;$H$5),"ERROR",IF(AND(C11&lt;$H$5,C12&lt;$H$5),"0",IF(AND(C11&gt;$C$5,C12&gt;$H$5),POWER(10,(LOG(C12)-$F$8)/$D$8)*LEFT($B12,LEN($B12)-3),""))))),"ERROR")</f>
        <v>217.30969760076269</v>
      </c>
      <c r="D19" s="36" t="str">
        <f t="shared" si="14"/>
        <v>ERROR</v>
      </c>
      <c r="E19" s="36">
        <f t="shared" si="14"/>
        <v>165.16432005642039</v>
      </c>
      <c r="F19" s="36">
        <f t="shared" si="14"/>
        <v>555.72840288962675</v>
      </c>
      <c r="G19" s="36" t="str">
        <f t="shared" si="14"/>
        <v>ERROR</v>
      </c>
      <c r="H19" s="36">
        <f t="shared" si="14"/>
        <v>284.2278726510641</v>
      </c>
      <c r="I19" s="36">
        <f t="shared" si="14"/>
        <v>156.45828528094748</v>
      </c>
      <c r="J19" s="36" t="str">
        <f t="shared" si="14"/>
        <v/>
      </c>
      <c r="K19" s="36">
        <f t="shared" si="14"/>
        <v>448.61623981845503</v>
      </c>
      <c r="L19" s="36" t="str">
        <f t="shared" si="14"/>
        <v/>
      </c>
      <c r="N19" s="72"/>
      <c r="O19" s="73"/>
      <c r="P19" s="74"/>
      <c r="Q19" s="74"/>
      <c r="R19" s="74"/>
      <c r="S19" s="74"/>
      <c r="T19" s="74"/>
      <c r="U19" s="74"/>
      <c r="V19" s="74"/>
      <c r="W19" s="74"/>
      <c r="X19" s="75"/>
    </row>
    <row r="20" spans="1:24" ht="12.95" customHeight="1" x14ac:dyDescent="0.2">
      <c r="B20" s="19" t="str">
        <f>$B$38&amp;$C$38</f>
        <v>500倍OD</v>
      </c>
      <c r="C20" s="35" t="str">
        <f t="shared" ref="C20:L20" si="15">IF(C13&gt;C14,IF(AND(C13&lt;$C$5,C14&gt;$H$5),POWER(10,(LOG(C13)-$F$8)/$D$8)*LEFT($B13,LEN($B13)-3),IF(AND(C13&gt;$C$5,C14&gt;$C$5),"ERROR",IF(AND(C13&gt;$C$5,C14&lt;$H$5),"ERROR",IF(AND(C13&lt;$H$5,C14&lt;$H$5),"0",IF(AND(C13&lt;$C$5,C14&lt;$H$5),POWER(10,(LOG(C13)-$F$8)/$D$8)*LEFT($B13,LEN($B13)-3),""))))),"ERROR")</f>
        <v/>
      </c>
      <c r="D20" s="35" t="str">
        <f t="shared" si="15"/>
        <v/>
      </c>
      <c r="E20" s="35" t="str">
        <f t="shared" si="15"/>
        <v/>
      </c>
      <c r="F20" s="35" t="str">
        <f t="shared" si="15"/>
        <v/>
      </c>
      <c r="G20" s="35" t="str">
        <f t="shared" si="15"/>
        <v/>
      </c>
      <c r="H20" s="35" t="str">
        <f t="shared" si="15"/>
        <v/>
      </c>
      <c r="I20" s="35" t="str">
        <f t="shared" si="15"/>
        <v/>
      </c>
      <c r="J20" s="35" t="str">
        <f t="shared" si="15"/>
        <v/>
      </c>
      <c r="K20" s="35" t="str">
        <f t="shared" si="15"/>
        <v>ERROR</v>
      </c>
      <c r="L20" s="35" t="str">
        <f t="shared" si="15"/>
        <v/>
      </c>
      <c r="N20" s="76" t="s">
        <v>26</v>
      </c>
      <c r="O20" s="73">
        <f t="shared" ref="O20:X20" si="16">IF(AND(ISNUMBER(C20),C20&lt;&gt;0),C20,C21)</f>
        <v>235.5120833971053</v>
      </c>
      <c r="P20" s="74">
        <f t="shared" si="16"/>
        <v>217.82542310970234</v>
      </c>
      <c r="Q20" s="74">
        <f t="shared" si="16"/>
        <v>269.03302596220499</v>
      </c>
      <c r="R20" s="74">
        <f t="shared" si="16"/>
        <v>300.70146910612118</v>
      </c>
      <c r="S20" s="74">
        <f t="shared" si="16"/>
        <v>253.48535790612254</v>
      </c>
      <c r="T20" s="74">
        <f t="shared" si="16"/>
        <v>165.65090492302014</v>
      </c>
      <c r="U20" s="74">
        <f t="shared" si="16"/>
        <v>479.50338035661684</v>
      </c>
      <c r="V20" s="74">
        <f t="shared" si="16"/>
        <v>575.30812175404787</v>
      </c>
      <c r="W20" s="74" t="str">
        <f t="shared" si="16"/>
        <v>ERROR</v>
      </c>
      <c r="X20" s="75">
        <f t="shared" si="16"/>
        <v>686.45927975885604</v>
      </c>
    </row>
    <row r="21" spans="1:24" ht="12.95" customHeight="1" thickBot="1" x14ac:dyDescent="0.25">
      <c r="B21" s="26" t="str">
        <f>$B$39&amp;$C$39</f>
        <v>2500倍OD</v>
      </c>
      <c r="C21" s="36">
        <f t="shared" ref="C21:L21" si="17">IF(C13&gt;C14,IF(AND(C13&lt;$C$5,C14&gt;$H$5),"",IF(AND(C13&gt;$C$5,C14&gt;$C$5),"ERROR",IF(AND(C13&gt;$C$5,C14&lt;$H$5),"ERROR",IF(AND(C13&lt;$H$5,C14&lt;$H$5),"0",IF(AND(C13&gt;$C$5,C14&gt;$H$5),POWER(10,(LOG(C14)-$F$8)/$D$8)*LEFT($B14,LEN($B14)-3),""))))),"ERROR")</f>
        <v>235.5120833971053</v>
      </c>
      <c r="D21" s="36">
        <f t="shared" si="17"/>
        <v>217.82542310970234</v>
      </c>
      <c r="E21" s="36">
        <f t="shared" si="17"/>
        <v>269.03302596220499</v>
      </c>
      <c r="F21" s="36">
        <f t="shared" si="17"/>
        <v>300.70146910612118</v>
      </c>
      <c r="G21" s="36">
        <f t="shared" si="17"/>
        <v>253.48535790612254</v>
      </c>
      <c r="H21" s="36">
        <f t="shared" si="17"/>
        <v>165.65090492302014</v>
      </c>
      <c r="I21" s="36">
        <f t="shared" si="17"/>
        <v>479.50338035661684</v>
      </c>
      <c r="J21" s="36">
        <f t="shared" si="17"/>
        <v>575.30812175404787</v>
      </c>
      <c r="K21" s="36" t="str">
        <f t="shared" si="17"/>
        <v>ERROR</v>
      </c>
      <c r="L21" s="36">
        <f t="shared" si="17"/>
        <v>686.45927975885604</v>
      </c>
      <c r="N21" s="77"/>
      <c r="O21" s="78"/>
      <c r="P21" s="79"/>
      <c r="Q21" s="79"/>
      <c r="R21" s="79"/>
      <c r="S21" s="79"/>
      <c r="T21" s="79"/>
      <c r="U21" s="79"/>
      <c r="V21" s="79"/>
      <c r="W21" s="79"/>
      <c r="X21" s="80"/>
    </row>
    <row r="22" spans="1:24" ht="12.95" customHeight="1" thickBot="1" x14ac:dyDescent="0.25">
      <c r="B22" s="27" t="s">
        <v>7</v>
      </c>
      <c r="C22" s="32">
        <f>POWER(10,(LOG(C15)-$F$8)/$D$8)*100</f>
        <v>5.6148754248019141</v>
      </c>
      <c r="D22" s="33"/>
      <c r="E22" s="33"/>
      <c r="F22" s="33"/>
      <c r="G22" s="33"/>
      <c r="H22" s="33"/>
      <c r="I22" s="33"/>
      <c r="J22" s="33"/>
      <c r="K22" s="33"/>
      <c r="L22" s="34"/>
    </row>
    <row r="24" spans="1:24" ht="18" x14ac:dyDescent="0.35">
      <c r="A24" s="66" t="s">
        <v>23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1:24" ht="13.5" thickBot="1" x14ac:dyDescent="0.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pans="1:24" ht="12.95" customHeight="1" x14ac:dyDescent="0.2">
      <c r="A26" s="58" t="s">
        <v>9</v>
      </c>
      <c r="B26" s="59">
        <v>1</v>
      </c>
      <c r="C26" s="59">
        <v>2</v>
      </c>
      <c r="D26" s="59">
        <v>3</v>
      </c>
      <c r="E26" s="59">
        <v>4</v>
      </c>
      <c r="F26" s="59">
        <v>5</v>
      </c>
      <c r="G26" s="59">
        <v>6</v>
      </c>
      <c r="H26" s="59">
        <v>7</v>
      </c>
      <c r="I26" s="59">
        <v>8</v>
      </c>
      <c r="J26" s="59">
        <v>9</v>
      </c>
      <c r="K26" s="59">
        <v>10</v>
      </c>
      <c r="L26" s="59">
        <v>11</v>
      </c>
      <c r="M26" s="60">
        <v>12</v>
      </c>
      <c r="O26" s="81"/>
      <c r="P26" s="81"/>
      <c r="Q26" s="81"/>
      <c r="R26" s="81"/>
      <c r="S26" s="81"/>
      <c r="T26" s="81"/>
      <c r="U26" s="81"/>
      <c r="V26" s="81"/>
      <c r="W26" s="81"/>
      <c r="X26" s="81"/>
    </row>
    <row r="27" spans="1:24" ht="12.95" customHeight="1" x14ac:dyDescent="0.2">
      <c r="A27" s="61" t="s">
        <v>10</v>
      </c>
      <c r="B27" s="4">
        <v>-7.0000000000000001E-3</v>
      </c>
      <c r="C27" s="4">
        <v>2.9340000000000002</v>
      </c>
      <c r="D27" s="4">
        <v>2.544</v>
      </c>
      <c r="E27" s="4">
        <v>2.2850000000000001</v>
      </c>
      <c r="F27" s="4">
        <v>1.7569999999999999</v>
      </c>
      <c r="G27" s="4">
        <v>1.413</v>
      </c>
      <c r="H27" s="4">
        <v>1.827</v>
      </c>
      <c r="I27" s="4">
        <v>2.5000000000000001E-2</v>
      </c>
      <c r="J27" s="4">
        <v>0.40699999999999997</v>
      </c>
      <c r="K27" s="4">
        <v>2.2309999999999999</v>
      </c>
      <c r="L27" s="4">
        <v>2.4060000000000001</v>
      </c>
      <c r="M27" s="62">
        <v>-2.7E-2</v>
      </c>
      <c r="O27" s="81"/>
      <c r="P27" s="81"/>
      <c r="Q27" s="81"/>
      <c r="R27" s="81"/>
      <c r="S27" s="81"/>
      <c r="T27" s="81"/>
      <c r="U27" s="81"/>
      <c r="V27" s="81"/>
      <c r="W27" s="81"/>
      <c r="X27" s="81"/>
    </row>
    <row r="28" spans="1:24" ht="12.95" customHeight="1" x14ac:dyDescent="0.2">
      <c r="A28" s="61" t="s">
        <v>11</v>
      </c>
      <c r="B28" s="4">
        <v>-7.0000000000000001E-3</v>
      </c>
      <c r="C28" s="4">
        <v>0.93600000000000005</v>
      </c>
      <c r="D28" s="4">
        <v>0.71099999999999997</v>
      </c>
      <c r="E28" s="4">
        <v>0.501</v>
      </c>
      <c r="F28" s="4">
        <v>0.311</v>
      </c>
      <c r="G28" s="4">
        <v>0.193</v>
      </c>
      <c r="H28" s="4">
        <v>0.26500000000000001</v>
      </c>
      <c r="I28" s="4">
        <v>-1.6E-2</v>
      </c>
      <c r="J28" s="4">
        <v>2E-3</v>
      </c>
      <c r="K28" s="4">
        <v>0.53800000000000003</v>
      </c>
      <c r="L28" s="4">
        <v>0.56000000000000005</v>
      </c>
      <c r="M28" s="62">
        <v>-0.02</v>
      </c>
      <c r="O28" s="81"/>
      <c r="P28" s="81"/>
      <c r="Q28" s="81"/>
      <c r="R28" s="81"/>
      <c r="S28" s="81"/>
      <c r="T28" s="81"/>
      <c r="U28" s="81"/>
      <c r="V28" s="81"/>
      <c r="W28" s="81"/>
      <c r="X28" s="81"/>
    </row>
    <row r="29" spans="1:24" ht="12.95" customHeight="1" x14ac:dyDescent="0.2">
      <c r="A29" s="61" t="s">
        <v>12</v>
      </c>
      <c r="B29" s="4">
        <v>-2E-3</v>
      </c>
      <c r="C29" s="4">
        <v>1.5620000000000001</v>
      </c>
      <c r="D29" s="4">
        <v>1.2270000000000001</v>
      </c>
      <c r="E29" s="4">
        <v>0.94199999999999995</v>
      </c>
      <c r="F29" s="4">
        <v>0.67800000000000005</v>
      </c>
      <c r="G29" s="4">
        <v>0.47699999999999998</v>
      </c>
      <c r="H29" s="4">
        <v>0.318</v>
      </c>
      <c r="I29" s="4">
        <v>0.23</v>
      </c>
      <c r="J29" s="4">
        <v>0.875</v>
      </c>
      <c r="K29" s="4">
        <v>-2.8000000000000001E-2</v>
      </c>
      <c r="L29" s="4">
        <v>-0.02</v>
      </c>
      <c r="M29" s="62">
        <v>-2.5000000000000001E-2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</row>
    <row r="30" spans="1:24" ht="12.95" customHeight="1" x14ac:dyDescent="0.2">
      <c r="A30" s="61" t="s">
        <v>13</v>
      </c>
      <c r="B30" s="4">
        <v>-4.0000000000000001E-3</v>
      </c>
      <c r="C30" s="4">
        <v>1.625</v>
      </c>
      <c r="D30" s="4">
        <v>1.1359999999999999</v>
      </c>
      <c r="E30" s="4">
        <v>0.96399999999999997</v>
      </c>
      <c r="F30" s="4">
        <v>0.68799999999999994</v>
      </c>
      <c r="G30" s="4">
        <v>0.47299999999999998</v>
      </c>
      <c r="H30" s="4">
        <v>0.311</v>
      </c>
      <c r="I30" s="4">
        <v>0.22500000000000001</v>
      </c>
      <c r="J30" s="4">
        <v>0.99</v>
      </c>
      <c r="K30" s="4">
        <v>-1.7000000000000001E-2</v>
      </c>
      <c r="L30" s="4">
        <v>-1.7999999999999999E-2</v>
      </c>
      <c r="M30" s="62">
        <v>-0.02</v>
      </c>
    </row>
    <row r="31" spans="1:24" ht="12.95" customHeight="1" x14ac:dyDescent="0.2">
      <c r="A31" s="61" t="s">
        <v>14</v>
      </c>
      <c r="B31" s="4">
        <v>-1.0999999999999999E-2</v>
      </c>
      <c r="C31" s="4">
        <v>2.2839999999999998</v>
      </c>
      <c r="D31" s="4">
        <v>3.5169999999999999</v>
      </c>
      <c r="E31" s="4">
        <v>1.96</v>
      </c>
      <c r="F31" s="4">
        <v>2.9430000000000001</v>
      </c>
      <c r="G31" s="4">
        <v>3.1960000000000002</v>
      </c>
      <c r="H31" s="4">
        <v>2.3690000000000002</v>
      </c>
      <c r="I31" s="4">
        <v>2.0390000000000001</v>
      </c>
      <c r="J31" s="4">
        <v>1.4219999999999999</v>
      </c>
      <c r="K31" s="4">
        <v>3.0459999999999998</v>
      </c>
      <c r="L31" s="4">
        <v>1.5429999999999999</v>
      </c>
      <c r="M31" s="62">
        <v>-2.5000000000000001E-2</v>
      </c>
    </row>
    <row r="32" spans="1:24" ht="12.95" customHeight="1" x14ac:dyDescent="0.2">
      <c r="A32" s="61" t="s">
        <v>15</v>
      </c>
      <c r="B32" s="4">
        <v>0</v>
      </c>
      <c r="C32" s="4">
        <v>0.53500000000000003</v>
      </c>
      <c r="D32" s="4">
        <v>2.0409999999999999</v>
      </c>
      <c r="E32" s="4">
        <v>0.43099999999999999</v>
      </c>
      <c r="F32" s="4">
        <v>1.121</v>
      </c>
      <c r="G32" s="4">
        <v>1.8879999999999999</v>
      </c>
      <c r="H32" s="4">
        <v>0.66100000000000003</v>
      </c>
      <c r="I32" s="4">
        <v>0.41299999999999998</v>
      </c>
      <c r="J32" s="4">
        <v>0.18099999999999999</v>
      </c>
      <c r="K32" s="4">
        <v>0.94699999999999995</v>
      </c>
      <c r="L32" s="4">
        <v>0.30099999999999999</v>
      </c>
      <c r="M32" s="62">
        <v>-1.9E-2</v>
      </c>
    </row>
    <row r="33" spans="1:13" ht="12.95" customHeight="1" x14ac:dyDescent="0.2">
      <c r="A33" s="61" t="s">
        <v>16</v>
      </c>
      <c r="B33" s="4">
        <v>-5.0000000000000001E-3</v>
      </c>
      <c r="C33" s="4">
        <v>2.4260000000000002</v>
      </c>
      <c r="D33" s="4">
        <v>2.141</v>
      </c>
      <c r="E33" s="4">
        <v>2.504</v>
      </c>
      <c r="F33" s="4">
        <v>2.5750000000000002</v>
      </c>
      <c r="G33" s="4">
        <v>2.4209999999999998</v>
      </c>
      <c r="H33" s="4">
        <v>2.2749999999999999</v>
      </c>
      <c r="I33" s="4">
        <v>2.9089999999999998</v>
      </c>
      <c r="J33" s="4">
        <v>3.012</v>
      </c>
      <c r="K33" s="4">
        <v>1.64</v>
      </c>
      <c r="L33" s="4">
        <v>3.1890000000000001</v>
      </c>
      <c r="M33" s="62">
        <v>-2.8000000000000001E-2</v>
      </c>
    </row>
    <row r="34" spans="1:13" ht="12.95" customHeight="1" thickBot="1" x14ac:dyDescent="0.25">
      <c r="A34" s="63" t="s">
        <v>17</v>
      </c>
      <c r="B34" s="64">
        <v>-8.9999999999999993E-3</v>
      </c>
      <c r="C34" s="64">
        <v>0.56999999999999995</v>
      </c>
      <c r="D34" s="64">
        <v>0.53600000000000003</v>
      </c>
      <c r="E34" s="64">
        <v>0.63300000000000001</v>
      </c>
      <c r="F34" s="64">
        <v>0.69099999999999995</v>
      </c>
      <c r="G34" s="64">
        <v>0.60399999999999998</v>
      </c>
      <c r="H34" s="64">
        <v>0.432</v>
      </c>
      <c r="I34" s="64">
        <v>0.998</v>
      </c>
      <c r="J34" s="64">
        <v>1.1519999999999999</v>
      </c>
      <c r="K34" s="64">
        <v>0.30599999999999999</v>
      </c>
      <c r="L34" s="64">
        <v>1.3240000000000001</v>
      </c>
      <c r="M34" s="65">
        <v>-2.1999999999999999E-2</v>
      </c>
    </row>
    <row r="35" spans="1:13" ht="12.95" customHeight="1" thickBot="1" x14ac:dyDescent="0.25"/>
    <row r="36" spans="1:13" ht="12.95" customHeight="1" x14ac:dyDescent="0.2">
      <c r="A36" s="50" t="s">
        <v>21</v>
      </c>
      <c r="B36" s="55">
        <v>0.37</v>
      </c>
      <c r="C36" s="46"/>
    </row>
    <row r="37" spans="1:13" ht="12.95" customHeight="1" x14ac:dyDescent="0.2">
      <c r="A37" s="51" t="s">
        <v>22</v>
      </c>
      <c r="B37" s="56">
        <v>1.5</v>
      </c>
      <c r="C37" s="47"/>
    </row>
    <row r="38" spans="1:13" ht="12.95" customHeight="1" x14ac:dyDescent="0.2">
      <c r="A38" s="52" t="s">
        <v>18</v>
      </c>
      <c r="B38" s="56">
        <v>500</v>
      </c>
      <c r="C38" s="48" t="s">
        <v>20</v>
      </c>
    </row>
    <row r="39" spans="1:13" ht="12.95" customHeight="1" x14ac:dyDescent="0.2">
      <c r="A39" s="53"/>
      <c r="B39" s="56">
        <v>2500</v>
      </c>
      <c r="C39" s="48" t="s">
        <v>20</v>
      </c>
    </row>
    <row r="40" spans="1:13" ht="12.95" customHeight="1" thickBot="1" x14ac:dyDescent="0.25">
      <c r="A40" s="54" t="s">
        <v>19</v>
      </c>
      <c r="B40" s="57">
        <v>5.0000000000000001E-3</v>
      </c>
      <c r="C40" s="49"/>
    </row>
  </sheetData>
  <mergeCells count="1">
    <mergeCell ref="C1:J2"/>
  </mergeCells>
  <phoneticPr fontId="2" type="noConversion"/>
  <conditionalFormatting sqref="B27:M34">
    <cfRule type="cellIs" dxfId="0" priority="3" operator="between">
      <formula>$C$23</formula>
      <formula>$I$23</formula>
    </cfRule>
  </conditionalFormatting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林碧珍</cp:lastModifiedBy>
  <dcterms:created xsi:type="dcterms:W3CDTF">2012-01-17T01:04:39Z</dcterms:created>
  <dcterms:modified xsi:type="dcterms:W3CDTF">2015-10-13T07:33:40Z</dcterms:modified>
</cp:coreProperties>
</file>