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Mpd\FlightPlanner\Documentation\FlightLogTremplates\"/>
    </mc:Choice>
  </mc:AlternateContent>
  <xr:revisionPtr revIDLastSave="0" documentId="8_{CC8A4747-31A5-4345-B908-774BF7614DB3}" xr6:coauthVersionLast="47" xr6:coauthVersionMax="47" xr10:uidLastSave="{00000000-0000-0000-0000-000000000000}"/>
  <bookViews>
    <workbookView xWindow="-108" yWindow="-108" windowWidth="23256" windowHeight="12576"/>
  </bookViews>
  <sheets>
    <sheet name="Piano Volo" sheetId="1" r:id="rId1"/>
    <sheet name="Waypoints" sheetId="2" r:id="rId2"/>
    <sheet name="Aerei" sheetId="5" r:id="rId3"/>
    <sheet name="Effemeridi" sheetId="3" state="hidden" r:id="rId4"/>
    <sheet name="Calcoli" sheetId="4" state="hidden" r:id="rId5"/>
  </sheets>
  <definedNames>
    <definedName name="_xlnm.Print_Area" localSheetId="0">'Piano Volo'!$B$7:$AB$123</definedName>
    <definedName name="_xlnm.Print_Titles" localSheetId="0">'Piano Volo'!$7:$7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4" l="1"/>
  <c r="G19" i="4"/>
  <c r="Z5" i="1"/>
  <c r="V41" i="1" s="1"/>
  <c r="AB5" i="1"/>
  <c r="AE5" i="1"/>
  <c r="AF5" i="1"/>
  <c r="J7" i="1"/>
  <c r="K7" i="1"/>
  <c r="L7" i="1"/>
  <c r="M7" i="1"/>
  <c r="N7" i="1"/>
  <c r="O7" i="1"/>
  <c r="P7" i="1"/>
  <c r="Q7" i="1"/>
  <c r="R7" i="1"/>
  <c r="U7" i="1"/>
  <c r="V7" i="1"/>
  <c r="W7" i="1"/>
  <c r="X7" i="1"/>
  <c r="Y7" i="1"/>
  <c r="Z7" i="1"/>
  <c r="AA7" i="1"/>
  <c r="AB7" i="1"/>
  <c r="J9" i="1"/>
  <c r="L11" i="1"/>
  <c r="M11" i="1"/>
  <c r="Z11" i="1"/>
  <c r="AB11" i="1" s="1"/>
  <c r="AA11" i="1"/>
  <c r="AF11" i="1"/>
  <c r="AG11" i="1"/>
  <c r="L13" i="1"/>
  <c r="Z13" i="1"/>
  <c r="AB13" i="1"/>
  <c r="AE13" i="1"/>
  <c r="AF14" i="1"/>
  <c r="B2" i="1" s="1"/>
  <c r="C17" i="1"/>
  <c r="D17" i="1"/>
  <c r="AE17" i="1"/>
  <c r="C18" i="1"/>
  <c r="B3" i="4" s="1"/>
  <c r="D4" i="4" s="1"/>
  <c r="D18" i="1"/>
  <c r="E18" i="1"/>
  <c r="F18" i="1"/>
  <c r="G18" i="1"/>
  <c r="C3" i="4" s="1"/>
  <c r="E4" i="4" s="1"/>
  <c r="H18" i="1"/>
  <c r="I18" i="1"/>
  <c r="J18" i="1"/>
  <c r="K18" i="1"/>
  <c r="P18" i="1"/>
  <c r="W18" i="1"/>
  <c r="Y18" i="1"/>
  <c r="Z18" i="1"/>
  <c r="AB18" i="1"/>
  <c r="AE11" i="1" s="1"/>
  <c r="AE18" i="1"/>
  <c r="AB14" i="1" s="1"/>
  <c r="O20" i="1"/>
  <c r="AB20" i="1"/>
  <c r="C21" i="1"/>
  <c r="K21" i="1"/>
  <c r="M21" i="1"/>
  <c r="P21" i="1" s="1"/>
  <c r="P23" i="1" s="1"/>
  <c r="Z21" i="1"/>
  <c r="AD21" i="1"/>
  <c r="AF21" i="1" s="1"/>
  <c r="AF28" i="1" s="1"/>
  <c r="AF35" i="1" s="1"/>
  <c r="AF42" i="1" s="1"/>
  <c r="AF49" i="1" s="1"/>
  <c r="AF56" i="1" s="1"/>
  <c r="AF63" i="1" s="1"/>
  <c r="AF70" i="1" s="1"/>
  <c r="AF77" i="1" s="1"/>
  <c r="AF84" i="1" s="1"/>
  <c r="AF91" i="1" s="1"/>
  <c r="AF98" i="1" s="1"/>
  <c r="AF105" i="1" s="1"/>
  <c r="AF112" i="1" s="1"/>
  <c r="AF119" i="1" s="1"/>
  <c r="AE21" i="1"/>
  <c r="AG21" i="1"/>
  <c r="AG125" i="1" s="1"/>
  <c r="AM21" i="1"/>
  <c r="AQ21" i="1"/>
  <c r="O22" i="1"/>
  <c r="C23" i="1"/>
  <c r="B4" i="4" s="1"/>
  <c r="D23" i="1"/>
  <c r="E23" i="1"/>
  <c r="F23" i="1"/>
  <c r="G23" i="1"/>
  <c r="C4" i="4" s="1"/>
  <c r="H23" i="1"/>
  <c r="I23" i="1"/>
  <c r="J23" i="1"/>
  <c r="AL23" i="1"/>
  <c r="AO23" i="1"/>
  <c r="C25" i="1"/>
  <c r="I25" i="1"/>
  <c r="K25" i="1"/>
  <c r="M25" i="1"/>
  <c r="AH25" i="1" s="1"/>
  <c r="R25" i="1"/>
  <c r="U25" i="1"/>
  <c r="W25" i="1"/>
  <c r="O27" i="1"/>
  <c r="V27" i="1"/>
  <c r="AB27" i="1"/>
  <c r="C28" i="1"/>
  <c r="K28" i="1"/>
  <c r="M28" i="1"/>
  <c r="M30" i="1" s="1"/>
  <c r="S28" i="1"/>
  <c r="S30" i="1" s="1"/>
  <c r="Z28" i="1"/>
  <c r="AD28" i="1"/>
  <c r="AE28" i="1"/>
  <c r="AG28" i="1"/>
  <c r="AM28" i="1"/>
  <c r="AN28" i="1"/>
  <c r="AP28" i="1"/>
  <c r="AQ28" i="1"/>
  <c r="O29" i="1"/>
  <c r="C30" i="1"/>
  <c r="B5" i="4" s="1"/>
  <c r="D30" i="1"/>
  <c r="E30" i="1"/>
  <c r="F30" i="1"/>
  <c r="G30" i="1"/>
  <c r="C5" i="4" s="1"/>
  <c r="E6" i="4" s="1"/>
  <c r="H30" i="1"/>
  <c r="I30" i="1"/>
  <c r="J30" i="1"/>
  <c r="AL30" i="1"/>
  <c r="AO30" i="1"/>
  <c r="AO125" i="1" s="1"/>
  <c r="C32" i="1"/>
  <c r="I32" i="1"/>
  <c r="K32" i="1"/>
  <c r="M32" i="1"/>
  <c r="AI32" i="1" s="1"/>
  <c r="R32" i="1"/>
  <c r="U32" i="1"/>
  <c r="W32" i="1"/>
  <c r="AH32" i="1"/>
  <c r="O34" i="1"/>
  <c r="V34" i="1"/>
  <c r="AB34" i="1"/>
  <c r="C35" i="1"/>
  <c r="D35" i="1"/>
  <c r="K35" i="1"/>
  <c r="M35" i="1"/>
  <c r="P35" i="1"/>
  <c r="P37" i="1" s="1"/>
  <c r="R35" i="1"/>
  <c r="S35" i="1"/>
  <c r="S37" i="1" s="1"/>
  <c r="Z35" i="1"/>
  <c r="AD35" i="1"/>
  <c r="AE35" i="1"/>
  <c r="AE125" i="1" s="1"/>
  <c r="L14" i="1" s="1"/>
  <c r="AG35" i="1"/>
  <c r="AJ35" i="1"/>
  <c r="AM35" i="1"/>
  <c r="AN35" i="1"/>
  <c r="AQ35" i="1"/>
  <c r="O36" i="1"/>
  <c r="C37" i="1"/>
  <c r="B6" i="4" s="1"/>
  <c r="D7" i="4" s="1"/>
  <c r="D37" i="1"/>
  <c r="E37" i="1"/>
  <c r="F37" i="1"/>
  <c r="G37" i="1"/>
  <c r="C6" i="4" s="1"/>
  <c r="E7" i="4" s="1"/>
  <c r="H37" i="1"/>
  <c r="I37" i="1"/>
  <c r="J37" i="1"/>
  <c r="M37" i="1"/>
  <c r="R37" i="1"/>
  <c r="AL37" i="1"/>
  <c r="AO37" i="1"/>
  <c r="C39" i="1"/>
  <c r="I39" i="1"/>
  <c r="K39" i="1"/>
  <c r="M39" i="1"/>
  <c r="R39" i="1"/>
  <c r="U39" i="1"/>
  <c r="W39" i="1"/>
  <c r="AH39" i="1"/>
  <c r="AI39" i="1"/>
  <c r="AJ39" i="1"/>
  <c r="O41" i="1"/>
  <c r="AB41" i="1"/>
  <c r="C42" i="1"/>
  <c r="D42" i="1"/>
  <c r="K42" i="1"/>
  <c r="M42" i="1"/>
  <c r="S42" i="1" s="1"/>
  <c r="P42" i="1"/>
  <c r="P44" i="1" s="1"/>
  <c r="R42" i="1"/>
  <c r="R44" i="1" s="1"/>
  <c r="Z42" i="1"/>
  <c r="AD42" i="1"/>
  <c r="AE42" i="1"/>
  <c r="AG42" i="1"/>
  <c r="AJ42" i="1"/>
  <c r="AM42" i="1"/>
  <c r="AQ42" i="1"/>
  <c r="O43" i="1"/>
  <c r="C44" i="1"/>
  <c r="B7" i="4" s="1"/>
  <c r="D44" i="1"/>
  <c r="E44" i="1"/>
  <c r="F44" i="1"/>
  <c r="G44" i="1"/>
  <c r="H44" i="1"/>
  <c r="I44" i="1"/>
  <c r="J44" i="1"/>
  <c r="AL44" i="1"/>
  <c r="AO44" i="1"/>
  <c r="C46" i="1"/>
  <c r="I46" i="1"/>
  <c r="K46" i="1"/>
  <c r="M46" i="1"/>
  <c r="AI46" i="1" s="1"/>
  <c r="AJ46" i="1" s="1"/>
  <c r="R46" i="1"/>
  <c r="U46" i="1"/>
  <c r="W46" i="1"/>
  <c r="AH46" i="1"/>
  <c r="O48" i="1"/>
  <c r="AB48" i="1"/>
  <c r="C49" i="1"/>
  <c r="K49" i="1"/>
  <c r="M49" i="1"/>
  <c r="R49" i="1" s="1"/>
  <c r="R51" i="1" s="1"/>
  <c r="P49" i="1"/>
  <c r="P51" i="1" s="1"/>
  <c r="Z49" i="1"/>
  <c r="AD49" i="1"/>
  <c r="AE49" i="1"/>
  <c r="AG49" i="1"/>
  <c r="AJ49" i="1"/>
  <c r="AM49" i="1"/>
  <c r="AQ49" i="1"/>
  <c r="O50" i="1"/>
  <c r="C51" i="1"/>
  <c r="B8" i="4" s="1"/>
  <c r="D51" i="1"/>
  <c r="E51" i="1"/>
  <c r="F51" i="1"/>
  <c r="G51" i="1"/>
  <c r="H51" i="1"/>
  <c r="C8" i="4" s="1"/>
  <c r="E9" i="4" s="1"/>
  <c r="I51" i="1"/>
  <c r="J51" i="1"/>
  <c r="M51" i="1"/>
  <c r="AL51" i="1"/>
  <c r="AO51" i="1"/>
  <c r="C53" i="1"/>
  <c r="I53" i="1"/>
  <c r="K53" i="1"/>
  <c r="M53" i="1"/>
  <c r="AJ53" i="1" s="1"/>
  <c r="R53" i="1"/>
  <c r="U53" i="1"/>
  <c r="W53" i="1"/>
  <c r="AH53" i="1"/>
  <c r="D49" i="1" s="1"/>
  <c r="AI53" i="1"/>
  <c r="O55" i="1"/>
  <c r="AB55" i="1"/>
  <c r="C56" i="1"/>
  <c r="K56" i="1"/>
  <c r="M56" i="1"/>
  <c r="P56" i="1" s="1"/>
  <c r="P58" i="1" s="1"/>
  <c r="Z56" i="1"/>
  <c r="AD56" i="1"/>
  <c r="AE56" i="1"/>
  <c r="AG56" i="1"/>
  <c r="AM56" i="1"/>
  <c r="AQ56" i="1"/>
  <c r="O57" i="1"/>
  <c r="C58" i="1"/>
  <c r="B9" i="4" s="1"/>
  <c r="D10" i="4" s="1"/>
  <c r="D58" i="1"/>
  <c r="E58" i="1"/>
  <c r="F58" i="1"/>
  <c r="G58" i="1"/>
  <c r="C9" i="4" s="1"/>
  <c r="H58" i="1"/>
  <c r="I58" i="1"/>
  <c r="J58" i="1"/>
  <c r="AL58" i="1"/>
  <c r="AO58" i="1"/>
  <c r="C60" i="1"/>
  <c r="I60" i="1"/>
  <c r="K60" i="1"/>
  <c r="M60" i="1"/>
  <c r="AH60" i="1" s="1"/>
  <c r="R60" i="1"/>
  <c r="U60" i="1"/>
  <c r="W60" i="1"/>
  <c r="O62" i="1"/>
  <c r="V62" i="1"/>
  <c r="AB62" i="1"/>
  <c r="C63" i="1"/>
  <c r="K63" i="1"/>
  <c r="M63" i="1"/>
  <c r="P63" i="1"/>
  <c r="P65" i="1" s="1"/>
  <c r="R63" i="1"/>
  <c r="R65" i="1" s="1"/>
  <c r="S63" i="1"/>
  <c r="S65" i="1" s="1"/>
  <c r="Z63" i="1"/>
  <c r="AD63" i="1"/>
  <c r="AE63" i="1"/>
  <c r="AG63" i="1"/>
  <c r="AF9" i="1" s="1"/>
  <c r="T7" i="1" s="1"/>
  <c r="AM63" i="1"/>
  <c r="AN63" i="1"/>
  <c r="AP63" i="1"/>
  <c r="AQ63" i="1"/>
  <c r="O64" i="1"/>
  <c r="C65" i="1"/>
  <c r="B10" i="4" s="1"/>
  <c r="D65" i="1"/>
  <c r="E65" i="1"/>
  <c r="F65" i="1"/>
  <c r="G65" i="1"/>
  <c r="C10" i="4" s="1"/>
  <c r="E11" i="4" s="1"/>
  <c r="H65" i="1"/>
  <c r="I65" i="1"/>
  <c r="J65" i="1"/>
  <c r="M65" i="1"/>
  <c r="AL65" i="1"/>
  <c r="AL125" i="1" s="1"/>
  <c r="AO65" i="1"/>
  <c r="C67" i="1"/>
  <c r="I67" i="1"/>
  <c r="K67" i="1"/>
  <c r="M67" i="1"/>
  <c r="R67" i="1"/>
  <c r="U67" i="1"/>
  <c r="W67" i="1"/>
  <c r="AH67" i="1"/>
  <c r="AI67" i="1"/>
  <c r="AJ67" i="1" s="1"/>
  <c r="O69" i="1"/>
  <c r="AB69" i="1"/>
  <c r="C70" i="1"/>
  <c r="K70" i="1"/>
  <c r="M70" i="1"/>
  <c r="P70" i="1" s="1"/>
  <c r="P72" i="1" s="1"/>
  <c r="R70" i="1"/>
  <c r="R72" i="1" s="1"/>
  <c r="Z70" i="1"/>
  <c r="AD70" i="1"/>
  <c r="AE70" i="1"/>
  <c r="AG70" i="1"/>
  <c r="AM70" i="1"/>
  <c r="AQ70" i="1"/>
  <c r="O71" i="1"/>
  <c r="C72" i="1"/>
  <c r="B11" i="4" s="1"/>
  <c r="D72" i="1"/>
  <c r="E72" i="1"/>
  <c r="F72" i="1"/>
  <c r="G72" i="1"/>
  <c r="C11" i="4" s="1"/>
  <c r="H72" i="1"/>
  <c r="I72" i="1"/>
  <c r="J72" i="1"/>
  <c r="M72" i="1"/>
  <c r="AL72" i="1"/>
  <c r="AO72" i="1"/>
  <c r="C74" i="1"/>
  <c r="I74" i="1"/>
  <c r="K74" i="1"/>
  <c r="M74" i="1"/>
  <c r="AH74" i="1" s="1"/>
  <c r="R74" i="1"/>
  <c r="U74" i="1"/>
  <c r="W74" i="1"/>
  <c r="AI74" i="1"/>
  <c r="AJ74" i="1"/>
  <c r="O76" i="1"/>
  <c r="AB76" i="1"/>
  <c r="C77" i="1"/>
  <c r="K77" i="1"/>
  <c r="M77" i="1"/>
  <c r="S77" i="1" s="1"/>
  <c r="P77" i="1"/>
  <c r="P79" i="1" s="1"/>
  <c r="R77" i="1"/>
  <c r="R79" i="1" s="1"/>
  <c r="Z77" i="1"/>
  <c r="AD77" i="1"/>
  <c r="AE77" i="1"/>
  <c r="AG77" i="1"/>
  <c r="AM77" i="1"/>
  <c r="AM125" i="1" s="1"/>
  <c r="AQ77" i="1"/>
  <c r="O78" i="1"/>
  <c r="C79" i="1"/>
  <c r="B12" i="4" s="1"/>
  <c r="D13" i="4" s="1"/>
  <c r="D79" i="1"/>
  <c r="E79" i="1"/>
  <c r="F79" i="1"/>
  <c r="G79" i="1"/>
  <c r="C12" i="4" s="1"/>
  <c r="E13" i="4" s="1"/>
  <c r="H79" i="1"/>
  <c r="I79" i="1"/>
  <c r="J79" i="1"/>
  <c r="AL79" i="1"/>
  <c r="AO79" i="1"/>
  <c r="C81" i="1"/>
  <c r="I81" i="1"/>
  <c r="K81" i="1"/>
  <c r="M81" i="1"/>
  <c r="AH81" i="1" s="1"/>
  <c r="R81" i="1"/>
  <c r="U81" i="1"/>
  <c r="W81" i="1"/>
  <c r="AI81" i="1"/>
  <c r="O83" i="1"/>
  <c r="V83" i="1"/>
  <c r="AB83" i="1"/>
  <c r="C84" i="1"/>
  <c r="K84" i="1"/>
  <c r="M84" i="1"/>
  <c r="M86" i="1" s="1"/>
  <c r="Z84" i="1"/>
  <c r="AD84" i="1"/>
  <c r="AD125" i="1" s="1"/>
  <c r="AE84" i="1"/>
  <c r="AG84" i="1"/>
  <c r="AM84" i="1"/>
  <c r="AQ84" i="1"/>
  <c r="AQ125" i="1" s="1"/>
  <c r="E13" i="1" s="1"/>
  <c r="O85" i="1"/>
  <c r="C86" i="1"/>
  <c r="B13" i="4" s="1"/>
  <c r="D86" i="1"/>
  <c r="E86" i="1"/>
  <c r="F86" i="1"/>
  <c r="G86" i="1"/>
  <c r="C13" i="4" s="1"/>
  <c r="E14" i="4" s="1"/>
  <c r="H86" i="1"/>
  <c r="I86" i="1"/>
  <c r="J86" i="1"/>
  <c r="AL86" i="1"/>
  <c r="AO86" i="1"/>
  <c r="C88" i="1"/>
  <c r="I88" i="1"/>
  <c r="K88" i="1"/>
  <c r="M88" i="1"/>
  <c r="AJ88" i="1" s="1"/>
  <c r="R88" i="1"/>
  <c r="U88" i="1"/>
  <c r="W88" i="1"/>
  <c r="AH88" i="1"/>
  <c r="AI88" i="1"/>
  <c r="O90" i="1"/>
  <c r="V90" i="1"/>
  <c r="AB90" i="1"/>
  <c r="C91" i="1"/>
  <c r="K91" i="1"/>
  <c r="M91" i="1"/>
  <c r="P91" i="1" s="1"/>
  <c r="P93" i="1" s="1"/>
  <c r="Z91" i="1"/>
  <c r="AD91" i="1"/>
  <c r="AE91" i="1"/>
  <c r="AG91" i="1"/>
  <c r="AM91" i="1"/>
  <c r="AQ91" i="1"/>
  <c r="O92" i="1"/>
  <c r="C93" i="1"/>
  <c r="B14" i="4" s="1"/>
  <c r="D93" i="1"/>
  <c r="E93" i="1"/>
  <c r="F93" i="1"/>
  <c r="G93" i="1"/>
  <c r="C14" i="4" s="1"/>
  <c r="E15" i="4" s="1"/>
  <c r="H93" i="1"/>
  <c r="I93" i="1"/>
  <c r="J93" i="1"/>
  <c r="AL93" i="1"/>
  <c r="AO93" i="1"/>
  <c r="C95" i="1"/>
  <c r="I95" i="1"/>
  <c r="K95" i="1"/>
  <c r="M95" i="1"/>
  <c r="AH95" i="1" s="1"/>
  <c r="R95" i="1"/>
  <c r="U95" i="1"/>
  <c r="W95" i="1"/>
  <c r="O97" i="1"/>
  <c r="V97" i="1"/>
  <c r="AB97" i="1"/>
  <c r="C98" i="1"/>
  <c r="D98" i="1"/>
  <c r="K98" i="1"/>
  <c r="M98" i="1"/>
  <c r="M100" i="1" s="1"/>
  <c r="P98" i="1"/>
  <c r="P100" i="1" s="1"/>
  <c r="R98" i="1"/>
  <c r="R100" i="1" s="1"/>
  <c r="S98" i="1"/>
  <c r="AP98" i="1" s="1"/>
  <c r="Z98" i="1"/>
  <c r="AD98" i="1"/>
  <c r="AE98" i="1"/>
  <c r="AG98" i="1"/>
  <c r="AJ98" i="1"/>
  <c r="AM98" i="1"/>
  <c r="AN98" i="1"/>
  <c r="AQ98" i="1"/>
  <c r="O99" i="1"/>
  <c r="C100" i="1"/>
  <c r="B15" i="4" s="1"/>
  <c r="D16" i="4" s="1"/>
  <c r="D100" i="1"/>
  <c r="E100" i="1"/>
  <c r="F100" i="1"/>
  <c r="G100" i="1"/>
  <c r="C15" i="4" s="1"/>
  <c r="H100" i="1"/>
  <c r="I100" i="1"/>
  <c r="J100" i="1"/>
  <c r="AL100" i="1"/>
  <c r="AO100" i="1"/>
  <c r="C102" i="1"/>
  <c r="I102" i="1"/>
  <c r="K102" i="1"/>
  <c r="M102" i="1"/>
  <c r="R102" i="1"/>
  <c r="U102" i="1"/>
  <c r="W102" i="1"/>
  <c r="AH102" i="1"/>
  <c r="AI102" i="1"/>
  <c r="AJ102" i="1"/>
  <c r="O104" i="1"/>
  <c r="AB104" i="1"/>
  <c r="C105" i="1"/>
  <c r="D105" i="1"/>
  <c r="K105" i="1"/>
  <c r="M105" i="1"/>
  <c r="R105" i="1" s="1"/>
  <c r="R107" i="1" s="1"/>
  <c r="P105" i="1"/>
  <c r="P107" i="1" s="1"/>
  <c r="Z105" i="1"/>
  <c r="AD105" i="1"/>
  <c r="AE105" i="1"/>
  <c r="AG105" i="1"/>
  <c r="AJ105" i="1"/>
  <c r="AM105" i="1"/>
  <c r="AQ105" i="1"/>
  <c r="O106" i="1"/>
  <c r="C107" i="1"/>
  <c r="B16" i="4" s="1"/>
  <c r="D107" i="1"/>
  <c r="E107" i="1"/>
  <c r="F107" i="1"/>
  <c r="G107" i="1"/>
  <c r="H107" i="1"/>
  <c r="C16" i="4" s="1"/>
  <c r="E17" i="4" s="1"/>
  <c r="I107" i="1"/>
  <c r="J107" i="1"/>
  <c r="M107" i="1"/>
  <c r="AL107" i="1"/>
  <c r="AO107" i="1"/>
  <c r="C109" i="1"/>
  <c r="I109" i="1"/>
  <c r="K109" i="1"/>
  <c r="M109" i="1"/>
  <c r="R109" i="1"/>
  <c r="U109" i="1"/>
  <c r="W109" i="1"/>
  <c r="AH109" i="1"/>
  <c r="AI109" i="1"/>
  <c r="AJ109" i="1"/>
  <c r="O111" i="1"/>
  <c r="AB111" i="1"/>
  <c r="C112" i="1"/>
  <c r="K112" i="1"/>
  <c r="M112" i="1"/>
  <c r="R112" i="1" s="1"/>
  <c r="R114" i="1" s="1"/>
  <c r="P112" i="1"/>
  <c r="P114" i="1" s="1"/>
  <c r="Z112" i="1"/>
  <c r="AD112" i="1"/>
  <c r="AE112" i="1"/>
  <c r="AG112" i="1"/>
  <c r="AJ112" i="1"/>
  <c r="AM112" i="1"/>
  <c r="AQ112" i="1"/>
  <c r="O113" i="1"/>
  <c r="C114" i="1"/>
  <c r="B17" i="4" s="1"/>
  <c r="D18" i="4" s="1"/>
  <c r="D114" i="1"/>
  <c r="E114" i="1"/>
  <c r="F114" i="1"/>
  <c r="G114" i="1"/>
  <c r="C17" i="4" s="1"/>
  <c r="H114" i="1"/>
  <c r="I114" i="1"/>
  <c r="J114" i="1"/>
  <c r="AL114" i="1"/>
  <c r="AO114" i="1"/>
  <c r="C116" i="1"/>
  <c r="I116" i="1"/>
  <c r="K116" i="1"/>
  <c r="M116" i="1"/>
  <c r="AI116" i="1" s="1"/>
  <c r="R116" i="1"/>
  <c r="U116" i="1"/>
  <c r="W116" i="1"/>
  <c r="AH116" i="1"/>
  <c r="D112" i="1" s="1"/>
  <c r="O118" i="1"/>
  <c r="V118" i="1"/>
  <c r="AB118" i="1"/>
  <c r="C119" i="1"/>
  <c r="K119" i="1"/>
  <c r="M119" i="1"/>
  <c r="P119" i="1"/>
  <c r="P121" i="1" s="1"/>
  <c r="R119" i="1"/>
  <c r="R121" i="1" s="1"/>
  <c r="S119" i="1"/>
  <c r="S121" i="1" s="1"/>
  <c r="Z119" i="1"/>
  <c r="AD119" i="1"/>
  <c r="AE119" i="1"/>
  <c r="AG119" i="1"/>
  <c r="AM119" i="1"/>
  <c r="AN119" i="1"/>
  <c r="AP119" i="1"/>
  <c r="AQ119" i="1"/>
  <c r="O120" i="1"/>
  <c r="C121" i="1"/>
  <c r="B18" i="4" s="1"/>
  <c r="D121" i="1"/>
  <c r="E121" i="1"/>
  <c r="F121" i="1"/>
  <c r="G121" i="1"/>
  <c r="C18" i="4" s="1"/>
  <c r="H121" i="1"/>
  <c r="I121" i="1"/>
  <c r="J121" i="1"/>
  <c r="M121" i="1"/>
  <c r="AL121" i="1"/>
  <c r="AO121" i="1"/>
  <c r="C123" i="1"/>
  <c r="I123" i="1"/>
  <c r="K123" i="1"/>
  <c r="M123" i="1"/>
  <c r="R123" i="1"/>
  <c r="U123" i="1"/>
  <c r="W123" i="1"/>
  <c r="AH123" i="1"/>
  <c r="AI123" i="1"/>
  <c r="AJ123" i="1" s="1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5" i="2"/>
  <c r="U36" i="2"/>
  <c r="U37" i="2"/>
  <c r="U38" i="2"/>
  <c r="U39" i="2"/>
  <c r="U40" i="2"/>
  <c r="U42" i="2"/>
  <c r="U43" i="2"/>
  <c r="U44" i="2"/>
  <c r="U45" i="2"/>
  <c r="U46" i="2"/>
  <c r="U47" i="2"/>
  <c r="U48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5" i="2"/>
  <c r="U146" i="2"/>
  <c r="U147" i="2"/>
  <c r="U148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4" i="2"/>
  <c r="U165" i="2"/>
  <c r="U166" i="2"/>
  <c r="U167" i="2"/>
  <c r="U168" i="2"/>
  <c r="U169" i="2"/>
  <c r="U170" i="2"/>
  <c r="U171" i="2"/>
  <c r="U172" i="2"/>
  <c r="U173" i="2"/>
  <c r="U175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8" i="2"/>
  <c r="U459" i="2"/>
  <c r="U460" i="2"/>
  <c r="U461" i="2"/>
  <c r="U462" i="2"/>
  <c r="U463" i="2"/>
  <c r="U464" i="2"/>
  <c r="U465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F16" i="4" l="1"/>
  <c r="H16" i="4" s="1"/>
  <c r="J16" i="4" s="1"/>
  <c r="G16" i="4"/>
  <c r="I16" i="4" s="1"/>
  <c r="AJ21" i="1"/>
  <c r="D21" i="1"/>
  <c r="L4" i="4"/>
  <c r="K4" i="4" s="1"/>
  <c r="F4" i="4"/>
  <c r="H4" i="4" s="1"/>
  <c r="J4" i="4" s="1"/>
  <c r="G4" i="4"/>
  <c r="I4" i="4" s="1"/>
  <c r="E12" i="4"/>
  <c r="F10" i="4"/>
  <c r="H10" i="4" s="1"/>
  <c r="J10" i="4" s="1"/>
  <c r="G10" i="4"/>
  <c r="I10" i="4" s="1"/>
  <c r="D9" i="4"/>
  <c r="D8" i="4"/>
  <c r="E5" i="4"/>
  <c r="F18" i="4"/>
  <c r="H18" i="4" s="1"/>
  <c r="J18" i="4" s="1"/>
  <c r="G18" i="4"/>
  <c r="I18" i="4" s="1"/>
  <c r="AE14" i="1"/>
  <c r="Z12" i="1"/>
  <c r="AB12" i="1"/>
  <c r="Z14" i="1"/>
  <c r="AJ91" i="1"/>
  <c r="D91" i="1" s="1"/>
  <c r="AJ70" i="1"/>
  <c r="D70" i="1"/>
  <c r="F13" i="4"/>
  <c r="H13" i="4" s="1"/>
  <c r="J13" i="4" s="1"/>
  <c r="G13" i="4"/>
  <c r="I13" i="4" s="1"/>
  <c r="L13" i="4"/>
  <c r="K13" i="4" s="1"/>
  <c r="D28" i="1"/>
  <c r="E16" i="4"/>
  <c r="L16" i="4" s="1"/>
  <c r="K16" i="4" s="1"/>
  <c r="D15" i="4"/>
  <c r="D14" i="4"/>
  <c r="AJ56" i="1"/>
  <c r="D56" i="1"/>
  <c r="S44" i="1"/>
  <c r="AP42" i="1"/>
  <c r="D6" i="4"/>
  <c r="D17" i="4"/>
  <c r="S79" i="1"/>
  <c r="AP77" i="1"/>
  <c r="D12" i="4"/>
  <c r="E10" i="4"/>
  <c r="L10" i="4" s="1"/>
  <c r="K10" i="4" s="1"/>
  <c r="D5" i="4"/>
  <c r="G7" i="4"/>
  <c r="I7" i="4" s="1"/>
  <c r="L7" i="4"/>
  <c r="K7" i="4" s="1"/>
  <c r="F7" i="4"/>
  <c r="H7" i="4" s="1"/>
  <c r="J7" i="4" s="1"/>
  <c r="E18" i="4"/>
  <c r="L18" i="4" s="1"/>
  <c r="K18" i="4" s="1"/>
  <c r="AJ77" i="1"/>
  <c r="D77" i="1" s="1"/>
  <c r="D11" i="4"/>
  <c r="E8" i="4"/>
  <c r="S100" i="1"/>
  <c r="S84" i="1"/>
  <c r="M114" i="1"/>
  <c r="AJ95" i="1"/>
  <c r="AJ119" i="1"/>
  <c r="D119" i="1" s="1"/>
  <c r="AJ116" i="1"/>
  <c r="AN105" i="1"/>
  <c r="S105" i="1"/>
  <c r="V104" i="1"/>
  <c r="AI95" i="1"/>
  <c r="R84" i="1"/>
  <c r="R86" i="1" s="1"/>
  <c r="M79" i="1"/>
  <c r="AJ63" i="1"/>
  <c r="D63" i="1" s="1"/>
  <c r="AJ60" i="1"/>
  <c r="AN49" i="1"/>
  <c r="S49" i="1"/>
  <c r="V48" i="1"/>
  <c r="R28" i="1"/>
  <c r="R30" i="1" s="1"/>
  <c r="M23" i="1"/>
  <c r="M93" i="1"/>
  <c r="AN84" i="1"/>
  <c r="M58" i="1"/>
  <c r="AJ84" i="1"/>
  <c r="D84" i="1" s="1"/>
  <c r="P84" i="1"/>
  <c r="P86" i="1" s="1"/>
  <c r="AJ81" i="1"/>
  <c r="AN70" i="1"/>
  <c r="S70" i="1"/>
  <c r="V69" i="1"/>
  <c r="AI60" i="1"/>
  <c r="M44" i="1"/>
  <c r="AP35" i="1"/>
  <c r="AJ28" i="1"/>
  <c r="P28" i="1"/>
  <c r="P30" i="1" s="1"/>
  <c r="J14" i="1"/>
  <c r="AI25" i="1"/>
  <c r="AJ25" i="1" s="1"/>
  <c r="AN112" i="1"/>
  <c r="S112" i="1"/>
  <c r="V111" i="1"/>
  <c r="R91" i="1"/>
  <c r="R93" i="1" s="1"/>
  <c r="AN56" i="1"/>
  <c r="S56" i="1"/>
  <c r="V55" i="1"/>
  <c r="R18" i="1"/>
  <c r="AF13" i="1" s="1"/>
  <c r="AG13" i="1" s="1"/>
  <c r="O3" i="1"/>
  <c r="AN91" i="1"/>
  <c r="S91" i="1"/>
  <c r="AN77" i="1"/>
  <c r="V76" i="1"/>
  <c r="R56" i="1"/>
  <c r="R58" i="1" s="1"/>
  <c r="AJ32" i="1"/>
  <c r="AN21" i="1"/>
  <c r="S21" i="1"/>
  <c r="V20" i="1"/>
  <c r="B3" i="1"/>
  <c r="AN42" i="1"/>
  <c r="R21" i="1"/>
  <c r="R23" i="1" s="1"/>
  <c r="O2" i="1"/>
  <c r="Z15" i="1" l="1"/>
  <c r="AB15" i="1"/>
  <c r="S93" i="1"/>
  <c r="AP91" i="1"/>
  <c r="S51" i="1"/>
  <c r="AP49" i="1"/>
  <c r="S107" i="1"/>
  <c r="AP105" i="1"/>
  <c r="L6" i="4"/>
  <c r="K6" i="4" s="1"/>
  <c r="F6" i="4"/>
  <c r="H6" i="4" s="1"/>
  <c r="J6" i="4" s="1"/>
  <c r="G6" i="4"/>
  <c r="I6" i="4" s="1"/>
  <c r="L8" i="4"/>
  <c r="K8" i="4" s="1"/>
  <c r="F8" i="4"/>
  <c r="H8" i="4" s="1"/>
  <c r="J8" i="4" s="1"/>
  <c r="G8" i="4"/>
  <c r="I8" i="4" s="1"/>
  <c r="L12" i="4"/>
  <c r="K12" i="4" s="1"/>
  <c r="G12" i="4"/>
  <c r="I12" i="4" s="1"/>
  <c r="F12" i="4"/>
  <c r="H12" i="4" s="1"/>
  <c r="J12" i="4" s="1"/>
  <c r="L9" i="4"/>
  <c r="K9" i="4" s="1"/>
  <c r="F9" i="4"/>
  <c r="H9" i="4" s="1"/>
  <c r="J9" i="4" s="1"/>
  <c r="G9" i="4"/>
  <c r="I9" i="4" s="1"/>
  <c r="L11" i="4"/>
  <c r="K11" i="4" s="1"/>
  <c r="F11" i="4"/>
  <c r="H11" i="4" s="1"/>
  <c r="J11" i="4" s="1"/>
  <c r="G11" i="4"/>
  <c r="I11" i="4" s="1"/>
  <c r="S114" i="1"/>
  <c r="AP112" i="1"/>
  <c r="AN125" i="1"/>
  <c r="L15" i="1" s="1"/>
  <c r="F5" i="4"/>
  <c r="H5" i="4" s="1"/>
  <c r="J5" i="4" s="1"/>
  <c r="G5" i="4"/>
  <c r="I5" i="4" s="1"/>
  <c r="L5" i="4"/>
  <c r="K5" i="4" s="1"/>
  <c r="S72" i="1"/>
  <c r="AP70" i="1"/>
  <c r="S23" i="1"/>
  <c r="AP21" i="1"/>
  <c r="S58" i="1"/>
  <c r="AP56" i="1"/>
  <c r="S86" i="1"/>
  <c r="AP84" i="1"/>
  <c r="L17" i="4"/>
  <c r="K17" i="4" s="1"/>
  <c r="F17" i="4"/>
  <c r="H17" i="4" s="1"/>
  <c r="J17" i="4" s="1"/>
  <c r="G17" i="4"/>
  <c r="I17" i="4" s="1"/>
  <c r="L14" i="4"/>
  <c r="K14" i="4" s="1"/>
  <c r="F14" i="4"/>
  <c r="H14" i="4" s="1"/>
  <c r="J14" i="4" s="1"/>
  <c r="G14" i="4"/>
  <c r="I14" i="4" s="1"/>
  <c r="G15" i="4"/>
  <c r="I15" i="4" s="1"/>
  <c r="L15" i="4"/>
  <c r="K15" i="4" s="1"/>
  <c r="F15" i="4"/>
  <c r="H15" i="4" s="1"/>
  <c r="J15" i="4" s="1"/>
  <c r="AP125" i="1" l="1"/>
</calcChain>
</file>

<file path=xl/comments1.xml><?xml version="1.0" encoding="utf-8"?>
<comments xmlns="http://schemas.openxmlformats.org/spreadsheetml/2006/main">
  <authors>
    <author>FSC</author>
    <author>Daniele Traferro</author>
  </authors>
  <commentList>
    <comment ref="G5" authorId="0" shapeId="0">
      <text>
        <r>
          <rPr>
            <b/>
            <sz val="8"/>
            <color indexed="81"/>
            <rFont val="Tahoma"/>
          </rPr>
          <t>Unità di misura della distanza, riferita all'anemometro del mezzo usato per la missione.</t>
        </r>
      </text>
    </comment>
    <comment ref="N5" authorId="0" shapeId="0">
      <text>
        <r>
          <rPr>
            <b/>
            <sz val="8"/>
            <color indexed="81"/>
            <rFont val="Tahoma"/>
          </rPr>
          <t>Unità di misura dell'altitudine, riferita all'altimetro del mezzo usato per la missione.</t>
        </r>
      </text>
    </comment>
    <comment ref="Z5" authorId="0" shapeId="0">
      <text>
        <r>
          <rPr>
            <b/>
            <sz val="8"/>
            <color indexed="81"/>
            <rFont val="Tahoma"/>
          </rPr>
          <t>Unità di misura dell'anemometro del mezzo usato per la missione.</t>
        </r>
      </text>
    </comment>
    <comment ref="E9" authorId="0" shapeId="0">
      <text>
        <r>
          <rPr>
            <b/>
            <sz val="8"/>
            <color indexed="81"/>
            <rFont val="Tahoma"/>
          </rPr>
          <t>Identificativo del mezzo usato per la missione.</t>
        </r>
      </text>
    </comment>
    <comment ref="L11" authorId="0" shapeId="0">
      <text>
        <r>
          <rPr>
            <b/>
            <sz val="8"/>
            <color indexed="81"/>
            <rFont val="Tahoma"/>
          </rPr>
          <t>Consumo medio/ora stimato del mezzo inpiegato per la missione.</t>
        </r>
      </text>
    </comment>
    <comment ref="N11" authorId="0" shapeId="0">
      <text>
        <r>
          <rPr>
            <b/>
            <sz val="8"/>
            <color indexed="81"/>
            <rFont val="Tahoma"/>
          </rPr>
          <t>Lunghezza minima della pista necessaria per operare in sicurezza sia in decollo che in atterraggio con il mezzo impiegato per la missione.</t>
        </r>
      </text>
    </comment>
    <comment ref="L12" authorId="1" shapeId="0">
      <text>
        <r>
          <rPr>
            <b/>
            <sz val="8"/>
            <color indexed="81"/>
            <rFont val="Tahoma"/>
          </rPr>
          <t>Quantità di carburante imbarcato alla partenza della missione.</t>
        </r>
      </text>
    </comment>
    <comment ref="N12" authorId="0" shapeId="0">
      <text>
        <r>
          <rPr>
            <b/>
            <sz val="8"/>
            <color indexed="81"/>
            <rFont val="Tahoma"/>
          </rPr>
          <t>Tempo di volo previsto per il completamento della missione, ottenuto sommando il tempo di volo effettivo per tutte le tratte, 10 minuti per ogni atterraggio e 15 minuti di sicurezza.</t>
        </r>
      </text>
    </comment>
    <comment ref="E13" authorId="0" shapeId="0">
      <text>
        <r>
          <rPr>
            <b/>
            <sz val="8"/>
            <color indexed="81"/>
            <rFont val="Tahoma"/>
          </rPr>
          <t>Carburante disponibile per la missione, calcolato sommando quello inbarcato alla partenza e quello previsto ai waypoints.</t>
        </r>
      </text>
    </comment>
    <comment ref="L13" authorId="0" shapeId="0">
      <text>
        <r>
          <rPr>
            <b/>
            <sz val="8"/>
            <color indexed="81"/>
            <rFont val="Tahoma"/>
          </rPr>
          <t>Quantità di carburante neccessaria a completare la missione, (tutta la durata del volo più 30 minuti di riserva).</t>
        </r>
      </text>
    </comment>
    <comment ref="N13" authorId="0" shapeId="0">
      <text>
        <r>
          <rPr>
            <b/>
            <sz val="8"/>
            <color indexed="81"/>
            <rFont val="Tahoma"/>
          </rPr>
          <t>Autonomia totale di volo riferita al carburante imbarcato alla partenza e a quello previsto lungo la rotta alla velocità prevista.</t>
        </r>
      </text>
    </comment>
    <comment ref="L14" authorId="0" shapeId="0">
      <text>
        <r>
          <rPr>
            <b/>
            <sz val="8"/>
            <color indexed="81"/>
            <rFont val="Tahoma"/>
          </rPr>
          <t>Velocità media risultante "pesando" la velocità inserita per le varie tratte.</t>
        </r>
      </text>
    </comment>
    <comment ref="N14" authorId="0" shapeId="0">
      <text>
        <r>
          <rPr>
            <b/>
            <sz val="8"/>
            <color indexed="81"/>
            <rFont val="Tahoma"/>
          </rPr>
          <t>Autonomia di volo rimanente al termine della missione.</t>
        </r>
      </text>
    </comment>
    <comment ref="L15" authorId="0" shapeId="0">
      <text>
        <r>
          <rPr>
            <b/>
            <sz val="8"/>
            <color indexed="81"/>
            <rFont val="Tahoma"/>
          </rPr>
          <t>Km Totali da percorrere per completare la missione.</t>
        </r>
      </text>
    </comment>
    <comment ref="N15" authorId="0" shapeId="0">
      <text>
        <r>
          <rPr>
            <b/>
            <sz val="8"/>
            <color indexed="81"/>
            <rFont val="Tahoma"/>
          </rPr>
          <t>Durata totale della missione ottenuta sommando il tempo di volo previsto alle soste ai vari waypoints.</t>
        </r>
      </text>
    </comment>
    <comment ref="B17" authorId="1" shapeId="0">
      <text>
        <r>
          <rPr>
            <b/>
            <sz val="8"/>
            <color indexed="81"/>
            <rFont val="Tahoma"/>
          </rPr>
          <t>Riferimento Waypoint di Partenza.</t>
        </r>
      </text>
    </comment>
    <comment ref="M17" authorId="1" shapeId="0">
      <text>
        <r>
          <rPr>
            <b/>
            <sz val="8"/>
            <color indexed="81"/>
            <rFont val="Tahoma"/>
          </rPr>
          <t>Ora di Partenza prevista per la missione.</t>
        </r>
      </text>
    </comment>
    <comment ref="P17" authorId="1" shapeId="0">
      <text>
        <r>
          <rPr>
            <b/>
            <sz val="8"/>
            <color indexed="81"/>
            <rFont val="Tahoma"/>
          </rPr>
          <t>Ora di Arrivo della missione calcolata sommando all'ora di partenza il tempo di volo totale, le varie soste presso i waypoints e 10 minuti per ogni atterraggio, come media del tempo impiegato in circuito. Il non inserimento di una sosta indica in non atterraggio presso quel waypoint.</t>
        </r>
      </text>
    </comment>
    <comment ref="W17" authorId="1" shapeId="0">
      <text>
        <r>
          <rPr>
            <b/>
            <sz val="8"/>
            <color indexed="81"/>
            <rFont val="Tahoma"/>
          </rPr>
          <t>Giorno di Partenza</t>
        </r>
      </text>
    </comment>
    <comment ref="X17" authorId="0" shapeId="0">
      <text>
        <r>
          <rPr>
            <b/>
            <sz val="8"/>
            <color indexed="81"/>
            <rFont val="Tahoma"/>
          </rPr>
          <t>Mese di Partenza</t>
        </r>
      </text>
    </comment>
    <comment ref="Z17" authorId="1" shapeId="0">
      <text>
        <r>
          <rPr>
            <b/>
            <sz val="8"/>
            <color indexed="81"/>
            <rFont val="Tahoma"/>
          </rPr>
          <t>Anno di Partenza</t>
        </r>
      </text>
    </comment>
    <comment ref="K18" authorId="0" shapeId="0">
      <text>
        <r>
          <rPr>
            <b/>
            <sz val="8"/>
            <color indexed="81"/>
            <rFont val="Tahoma"/>
          </rPr>
          <t>Elevazione della pista di partenza espressa in Mt/slm o Ft/slm secondo quanto impostato.</t>
        </r>
      </text>
    </comment>
    <comment ref="S18" authorId="1" shapeId="0">
      <text>
        <r>
          <rPr>
            <b/>
            <sz val="8"/>
            <color indexed="81"/>
            <rFont val="Tahoma"/>
          </rPr>
          <t>Calcolate dal Waypoint di partenza per l'alba a quello di arrivo per il tramonto.</t>
        </r>
      </text>
    </comment>
    <comment ref="B21" authorId="1" shapeId="0">
      <text>
        <r>
          <rPr>
            <b/>
            <sz val="8"/>
            <color indexed="81"/>
            <rFont val="Tahoma"/>
          </rPr>
          <t>Riferimento Waypoint Destinazione (1)</t>
        </r>
      </text>
    </comment>
    <comment ref="U21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21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21" authorId="0" shapeId="0">
      <text>
        <r>
          <rPr>
            <b/>
            <sz val="8"/>
            <color indexed="81"/>
            <rFont val="Tahoma"/>
          </rPr>
          <t>Elevazione del 1° waypoint espressa in Mt/slm o Ft/slm secondo quanto impostato.</t>
        </r>
      </text>
    </comment>
    <comment ref="U23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28" authorId="1" shapeId="0">
      <text>
        <r>
          <rPr>
            <b/>
            <sz val="8"/>
            <color indexed="81"/>
            <rFont val="Tahoma"/>
          </rPr>
          <t>Riferimento Waypoint Destinazione (2)</t>
        </r>
      </text>
    </comment>
    <comment ref="U28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28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28" authorId="0" shapeId="0">
      <text>
        <r>
          <rPr>
            <b/>
            <sz val="8"/>
            <color indexed="81"/>
            <rFont val="Tahoma"/>
          </rPr>
          <t>Elevazione del 2° waypoint espressa in Mt/slm o Ft/slm secondo quanto impostato.</t>
        </r>
      </text>
    </comment>
    <comment ref="U30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35" authorId="1" shapeId="0">
      <text>
        <r>
          <rPr>
            <b/>
            <sz val="8"/>
            <color indexed="81"/>
            <rFont val="Tahoma"/>
          </rPr>
          <t>Riferimento Waypoint Destinazione (3)</t>
        </r>
      </text>
    </comment>
    <comment ref="U35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35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35" authorId="0" shapeId="0">
      <text>
        <r>
          <rPr>
            <b/>
            <sz val="8"/>
            <color indexed="81"/>
            <rFont val="Tahoma"/>
          </rPr>
          <t>Elevazione del 3° waypoint espressa in Mt/slm o Ft/slm secondo quanto impostato.</t>
        </r>
      </text>
    </comment>
    <comment ref="U37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42" authorId="1" shapeId="0">
      <text>
        <r>
          <rPr>
            <b/>
            <sz val="8"/>
            <color indexed="81"/>
            <rFont val="Tahoma"/>
          </rPr>
          <t>Riferimento Waypoint Destinazione (4)</t>
        </r>
      </text>
    </comment>
    <comment ref="U42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42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42" authorId="0" shapeId="0">
      <text>
        <r>
          <rPr>
            <b/>
            <sz val="8"/>
            <color indexed="81"/>
            <rFont val="Tahoma"/>
          </rPr>
          <t>Elevazione del 4° waypoint espressa in Mt/slm o Ft/slm secondo quanto impostato.</t>
        </r>
      </text>
    </comment>
    <comment ref="U44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49" authorId="1" shapeId="0">
      <text>
        <r>
          <rPr>
            <b/>
            <sz val="8"/>
            <color indexed="81"/>
            <rFont val="Tahoma"/>
          </rPr>
          <t>Riferimento Waypoint Destinazione (5)</t>
        </r>
      </text>
    </comment>
    <comment ref="U49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49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49" authorId="0" shapeId="0">
      <text>
        <r>
          <rPr>
            <b/>
            <sz val="8"/>
            <color indexed="81"/>
            <rFont val="Tahoma"/>
          </rPr>
          <t>Elevazione del 5° waypoint espressa in Mt/slm o Ft/slm secondo quanto impostato.</t>
        </r>
      </text>
    </comment>
    <comment ref="U51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56" authorId="1" shapeId="0">
      <text>
        <r>
          <rPr>
            <b/>
            <sz val="8"/>
            <color indexed="81"/>
            <rFont val="Tahoma"/>
          </rPr>
          <t>Riferimento Waypoint Destinazione (6)</t>
        </r>
      </text>
    </comment>
    <comment ref="U56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56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56" authorId="0" shapeId="0">
      <text>
        <r>
          <rPr>
            <b/>
            <sz val="8"/>
            <color indexed="81"/>
            <rFont val="Tahoma"/>
          </rPr>
          <t>Elevazione del 6° waypoint espressa in Mt/slm o Ft/slm secondo quanto impostato.</t>
        </r>
      </text>
    </comment>
    <comment ref="U58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63" authorId="1" shapeId="0">
      <text>
        <r>
          <rPr>
            <b/>
            <sz val="8"/>
            <color indexed="81"/>
            <rFont val="Tahoma"/>
          </rPr>
          <t>Riferimento Waypoint Destinazione (7)</t>
        </r>
      </text>
    </comment>
    <comment ref="U63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63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63" authorId="0" shapeId="0">
      <text>
        <r>
          <rPr>
            <b/>
            <sz val="8"/>
            <color indexed="81"/>
            <rFont val="Tahoma"/>
          </rPr>
          <t>Elevazione del 7° waypoint espressa in Mt/slm o Ft/slm secondo quanto impostato.</t>
        </r>
      </text>
    </comment>
    <comment ref="U65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70" authorId="1" shapeId="0">
      <text>
        <r>
          <rPr>
            <b/>
            <sz val="8"/>
            <color indexed="81"/>
            <rFont val="Tahoma"/>
          </rPr>
          <t>Riferimento Waypoint Destinazione (8)</t>
        </r>
      </text>
    </comment>
    <comment ref="U70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70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70" authorId="0" shapeId="0">
      <text>
        <r>
          <rPr>
            <b/>
            <sz val="8"/>
            <color indexed="81"/>
            <rFont val="Tahoma"/>
          </rPr>
          <t>Elevazione del 8° waypoint espressa in Mt/slm o Ft/slm secondo quanto impostato.</t>
        </r>
      </text>
    </comment>
    <comment ref="U72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77" authorId="1" shapeId="0">
      <text>
        <r>
          <rPr>
            <b/>
            <sz val="8"/>
            <color indexed="81"/>
            <rFont val="Tahoma"/>
          </rPr>
          <t>Riferimento Waypoint Destinazione (9)</t>
        </r>
      </text>
    </comment>
    <comment ref="U77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77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77" authorId="0" shapeId="0">
      <text>
        <r>
          <rPr>
            <b/>
            <sz val="8"/>
            <color indexed="81"/>
            <rFont val="Tahoma"/>
          </rPr>
          <t>Elevazione del 9° waypoint espressa in Mt/slm o Ft/slm secondo quanto impostato.</t>
        </r>
      </text>
    </comment>
    <comment ref="U79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84" authorId="1" shapeId="0">
      <text>
        <r>
          <rPr>
            <b/>
            <sz val="8"/>
            <color indexed="81"/>
            <rFont val="Tahoma"/>
          </rPr>
          <t>Riferimento Waypoint Destinazione (10)</t>
        </r>
      </text>
    </comment>
    <comment ref="U84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84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84" authorId="0" shapeId="0">
      <text>
        <r>
          <rPr>
            <b/>
            <sz val="8"/>
            <color indexed="81"/>
            <rFont val="Tahoma"/>
          </rPr>
          <t>Elevazione del 10° waypoint espressa in Mt/slm o Ft/slm secondo quanto impostato.</t>
        </r>
      </text>
    </comment>
    <comment ref="U86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91" authorId="1" shapeId="0">
      <text>
        <r>
          <rPr>
            <b/>
            <sz val="8"/>
            <color indexed="81"/>
            <rFont val="Tahoma"/>
          </rPr>
          <t>Riferimento Waypoint Destinazione (11)</t>
        </r>
      </text>
    </comment>
    <comment ref="U91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91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91" authorId="0" shapeId="0">
      <text>
        <r>
          <rPr>
            <b/>
            <sz val="8"/>
            <color indexed="81"/>
            <rFont val="Tahoma"/>
          </rPr>
          <t>Elevazione del 11° waypoint espressa in Mt/slm o Ft/slm secondo quanto impostato.</t>
        </r>
      </text>
    </comment>
    <comment ref="U93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98" authorId="1" shapeId="0">
      <text>
        <r>
          <rPr>
            <b/>
            <sz val="8"/>
            <color indexed="81"/>
            <rFont val="Tahoma"/>
          </rPr>
          <t>Riferimento Waypoint Destinazione (12)</t>
        </r>
      </text>
    </comment>
    <comment ref="U98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98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98" authorId="0" shapeId="0">
      <text>
        <r>
          <rPr>
            <b/>
            <sz val="8"/>
            <color indexed="81"/>
            <rFont val="Tahoma"/>
          </rPr>
          <t>Elevazione del 12° waypoint espressa in Mt/slm o Ft/slm secondo quanto impostato.</t>
        </r>
      </text>
    </comment>
    <comment ref="U100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105" authorId="1" shapeId="0">
      <text>
        <r>
          <rPr>
            <b/>
            <sz val="8"/>
            <color indexed="81"/>
            <rFont val="Tahoma"/>
          </rPr>
          <t>Riferimento Waypoint Destinazione (13)</t>
        </r>
      </text>
    </comment>
    <comment ref="U105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105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105" authorId="0" shapeId="0">
      <text>
        <r>
          <rPr>
            <b/>
            <sz val="8"/>
            <color indexed="81"/>
            <rFont val="Tahoma"/>
          </rPr>
          <t>Elevazione del 13° waypoint espressa in Mt/slm o Ft/slm secondo quanto impostato.</t>
        </r>
      </text>
    </comment>
    <comment ref="U107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112" authorId="1" shapeId="0">
      <text>
        <r>
          <rPr>
            <b/>
            <sz val="8"/>
            <color indexed="81"/>
            <rFont val="Tahoma"/>
          </rPr>
          <t>Riferimento Waypoint Destinazione (14)</t>
        </r>
      </text>
    </comment>
    <comment ref="U112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112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112" authorId="0" shapeId="0">
      <text>
        <r>
          <rPr>
            <b/>
            <sz val="8"/>
            <color indexed="81"/>
            <rFont val="Tahoma"/>
          </rPr>
          <t>Elevazione del 14° waypoint espressa in Mt/slm o Ft/slm secondo quanto impostato.</t>
        </r>
      </text>
    </comment>
    <comment ref="U114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  <comment ref="B119" authorId="1" shapeId="0">
      <text>
        <r>
          <rPr>
            <b/>
            <sz val="8"/>
            <color indexed="81"/>
            <rFont val="Tahoma"/>
          </rPr>
          <t>Riferimento Waypoint Destinazione (15)</t>
        </r>
      </text>
    </comment>
    <comment ref="U119" authorId="0" shapeId="0">
      <text>
        <r>
          <rPr>
            <b/>
            <sz val="8"/>
            <color indexed="81"/>
            <rFont val="Tahoma"/>
          </rPr>
          <t>Velocità al suolo prevista per la tratta in questione.</t>
        </r>
      </text>
    </comment>
    <comment ref="W119" authorId="0" shapeId="0">
      <text>
        <r>
          <rPr>
            <b/>
            <sz val="8"/>
            <color indexed="81"/>
            <rFont val="Tahoma"/>
          </rPr>
          <t>Quantità di carburante da imbarcare al waypoint in oggetto per completare la missione.</t>
        </r>
      </text>
    </comment>
    <comment ref="Z119" authorId="0" shapeId="0">
      <text>
        <r>
          <rPr>
            <b/>
            <sz val="8"/>
            <color indexed="81"/>
            <rFont val="Tahoma"/>
          </rPr>
          <t>Elevazione del 15° waypoint espressa in Mt/slm o Ft/slm secondo quanto impostato.</t>
        </r>
      </text>
    </comment>
    <comment ref="U121" authorId="0" shapeId="0">
      <text>
        <r>
          <rPr>
            <b/>
            <sz val="8"/>
            <color indexed="81"/>
            <rFont val="Tahoma"/>
          </rPr>
          <t>Sosta prevista al waypoint in oggetto.
Da inserire sempre in minuti.</t>
        </r>
      </text>
    </comment>
  </commentList>
</comments>
</file>

<file path=xl/comments2.xml><?xml version="1.0" encoding="utf-8"?>
<comments xmlns="http://schemas.openxmlformats.org/spreadsheetml/2006/main">
  <authors>
    <author>Your User Name</author>
  </authors>
  <commentList>
    <comment ref="W1951" authorId="0" shapeId="0">
      <text>
        <r>
          <rPr>
            <b/>
            <sz val="8"/>
            <color indexed="81"/>
            <rFont val="Tahoma"/>
          </rPr>
          <t>aggiornamento del 7/5/2004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<sst xmlns="http://schemas.openxmlformats.org/spreadsheetml/2006/main" count="7429" uniqueCount="3080">
  <si>
    <t>Ladispoli</t>
  </si>
  <si>
    <t>Aerdomus</t>
  </si>
  <si>
    <t>Nettuno</t>
  </si>
  <si>
    <t>Arly Club</t>
  </si>
  <si>
    <t>Cormorano</t>
  </si>
  <si>
    <t>Giardini di Corcolle</t>
  </si>
  <si>
    <t>Altavilla Silentina</t>
  </si>
  <si>
    <t>Oasi di Peppe</t>
  </si>
  <si>
    <t>Pontecagnano</t>
  </si>
  <si>
    <t>Domagnano</t>
  </si>
  <si>
    <t>Platamona</t>
  </si>
  <si>
    <t>Pozzomaggiore</t>
  </si>
  <si>
    <t>Il Volo</t>
  </si>
  <si>
    <t>Colle Val D'Elsa</t>
  </si>
  <si>
    <t>Mensanello</t>
  </si>
  <si>
    <t>Sinalunga</t>
  </si>
  <si>
    <t>Aviocub Valdichiana</t>
  </si>
  <si>
    <t>Siracusa</t>
  </si>
  <si>
    <t>Pachino</t>
  </si>
  <si>
    <t>Sondrio</t>
  </si>
  <si>
    <t>Manduria</t>
  </si>
  <si>
    <t>Pulsano</t>
  </si>
  <si>
    <t>Corropoli</t>
  </si>
  <si>
    <t>Avio Club Val Vibrata</t>
  </si>
  <si>
    <t>Terni</t>
  </si>
  <si>
    <t>Narni</t>
  </si>
  <si>
    <t>Terni Fly Club</t>
  </si>
  <si>
    <t>Busano</t>
  </si>
  <si>
    <t>Castagnole Piemonte</t>
  </si>
  <si>
    <t>Lelika</t>
  </si>
  <si>
    <t>Castellamonte</t>
  </si>
  <si>
    <t>Mazzè</t>
  </si>
  <si>
    <t>Pianezza</t>
  </si>
  <si>
    <t>Vische</t>
  </si>
  <si>
    <t>Castelvetrano</t>
  </si>
  <si>
    <t>Campodenno</t>
  </si>
  <si>
    <t>Asolo</t>
  </si>
  <si>
    <t>Mareno di Piave</t>
  </si>
  <si>
    <t>Pinguino Club privato</t>
  </si>
  <si>
    <t>Salgareda</t>
  </si>
  <si>
    <t>Spresiano</t>
  </si>
  <si>
    <t>Vidor</t>
  </si>
  <si>
    <t>Codroipo</t>
  </si>
  <si>
    <t>Al Casale</t>
  </si>
  <si>
    <t>Palazzolo della Stella</t>
  </si>
  <si>
    <t>Premariacco</t>
  </si>
  <si>
    <t>Campolongo Maggiore</t>
  </si>
  <si>
    <t>Club Volo Pegaso</t>
  </si>
  <si>
    <t>328-0108810</t>
  </si>
  <si>
    <t>Casale sul Sile</t>
  </si>
  <si>
    <t>Eraclea</t>
  </si>
  <si>
    <t>Pramaggiore</t>
  </si>
  <si>
    <t>Pravolo</t>
  </si>
  <si>
    <t>San Stino di Livenza</t>
  </si>
  <si>
    <t>Parco Livenza</t>
  </si>
  <si>
    <t>Santa Maria di Sala</t>
  </si>
  <si>
    <t>Masera</t>
  </si>
  <si>
    <t>Moncrivello</t>
  </si>
  <si>
    <t>Lucchina Fly Club</t>
  </si>
  <si>
    <t>Verrua Savoia</t>
  </si>
  <si>
    <t>Legnago</t>
  </si>
  <si>
    <t>Ali Calabria</t>
  </si>
  <si>
    <t>Cassola</t>
  </si>
  <si>
    <t>Montecchio Maggiore</t>
  </si>
  <si>
    <t>Ghiotto</t>
  </si>
  <si>
    <t>Thiene</t>
  </si>
  <si>
    <t>Montalto di Castro</t>
  </si>
  <si>
    <t>Easy Flyte Maremma</t>
  </si>
  <si>
    <t>Nepi</t>
  </si>
  <si>
    <t>Tuscania</t>
  </si>
  <si>
    <t>Cv</t>
  </si>
  <si>
    <t>Delta Club Venezia</t>
  </si>
  <si>
    <t>Eraclea G. Ancillotto</t>
  </si>
  <si>
    <t>Monti della Tolfa</t>
  </si>
  <si>
    <t>Part.</t>
  </si>
  <si>
    <t>h</t>
  </si>
  <si>
    <t>m</t>
  </si>
  <si>
    <t>R</t>
  </si>
  <si>
    <t>­</t>
  </si>
  <si>
    <t>Marche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</si>
  <si>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</si>
  <si>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</si>
  <si>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</si>
  <si>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</si>
  <si>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</si>
  <si>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</si>
  <si>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</si>
  <si>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</si>
  <si>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</si>
  <si>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Novembre</t>
  </si>
  <si>
    <t>Dicembre</t>
  </si>
  <si>
    <t>Ottobre</t>
  </si>
  <si>
    <t>Piemonte</t>
  </si>
  <si>
    <t>Lombardia</t>
  </si>
  <si>
    <t>Liguria</t>
  </si>
  <si>
    <t>Toscana</t>
  </si>
  <si>
    <t>Abruzzo</t>
  </si>
  <si>
    <t>Ass. Volarte 66</t>
  </si>
  <si>
    <t>Divinangelo</t>
  </si>
  <si>
    <t>Veneto</t>
  </si>
  <si>
    <t>Trentino</t>
  </si>
  <si>
    <t>Molise</t>
  </si>
  <si>
    <t>Campania</t>
  </si>
  <si>
    <t>Puglia</t>
  </si>
  <si>
    <t>Sicilia</t>
  </si>
  <si>
    <t>Sardegna</t>
  </si>
  <si>
    <t>Calabria</t>
  </si>
  <si>
    <t>Lazio</t>
  </si>
  <si>
    <t>Umbria</t>
  </si>
  <si>
    <t>Basilicata</t>
  </si>
  <si>
    <t>Regione</t>
  </si>
  <si>
    <t>Effemeridi Utili:</t>
  </si>
  <si>
    <t>Arrivo</t>
  </si>
  <si>
    <t>Freq.       (MHz)</t>
  </si>
  <si>
    <t>Cat</t>
  </si>
  <si>
    <t>°             Lat</t>
  </si>
  <si>
    <t>1        Lat</t>
  </si>
  <si>
    <t>2     Lat</t>
  </si>
  <si>
    <t>N/S</t>
  </si>
  <si>
    <t>1        Lon</t>
  </si>
  <si>
    <t>2     Lon</t>
  </si>
  <si>
    <t>°             Lon</t>
  </si>
  <si>
    <t>E/W</t>
  </si>
  <si>
    <t>Telefono</t>
  </si>
  <si>
    <t>Ae</t>
  </si>
  <si>
    <t>071-28271</t>
  </si>
  <si>
    <t>Ancona/Falconara LIPY</t>
  </si>
  <si>
    <t>Fano LIDF</t>
  </si>
  <si>
    <t>Av</t>
  </si>
  <si>
    <t>Montegiorgio</t>
  </si>
  <si>
    <t>Guido Paci</t>
  </si>
  <si>
    <t>800x40</t>
  </si>
  <si>
    <t>Corridonia</t>
  </si>
  <si>
    <t>Bore di Chienti</t>
  </si>
  <si>
    <t>700x30</t>
  </si>
  <si>
    <t>S.Anna - Il punto nel Blu</t>
  </si>
  <si>
    <t>500x40</t>
  </si>
  <si>
    <t>350x30</t>
  </si>
  <si>
    <t>0721-897354</t>
  </si>
  <si>
    <t>Aqualagna</t>
  </si>
  <si>
    <t>Ali Metauro</t>
  </si>
  <si>
    <t>400x20</t>
  </si>
  <si>
    <t>0722-356088</t>
  </si>
  <si>
    <t>430x30</t>
  </si>
  <si>
    <t>Montecappone di Jesi</t>
  </si>
  <si>
    <t>450x25</t>
  </si>
  <si>
    <t>450x18</t>
  </si>
  <si>
    <t>Monteporzio</t>
  </si>
  <si>
    <t>820x30</t>
  </si>
  <si>
    <t>Tolentino</t>
  </si>
  <si>
    <t>Condor Man</t>
  </si>
  <si>
    <t>310x30</t>
  </si>
  <si>
    <t>339-3460642</t>
  </si>
  <si>
    <t>Fermignano</t>
  </si>
  <si>
    <t>Ca' Lagostina</t>
  </si>
  <si>
    <t>280x40</t>
  </si>
  <si>
    <t>0722-327185</t>
  </si>
  <si>
    <t>Perugia S.Egidio LIRZ</t>
  </si>
  <si>
    <t>550x25</t>
  </si>
  <si>
    <t>339-2503451</t>
  </si>
  <si>
    <t>S.Maria Rossa</t>
  </si>
  <si>
    <t>520x20</t>
  </si>
  <si>
    <t>Ex Aeroporto L. Eleuteri</t>
  </si>
  <si>
    <t>800x30</t>
  </si>
  <si>
    <t>338-1854060</t>
  </si>
  <si>
    <t>Il Corvo - S Nicolò</t>
  </si>
  <si>
    <t>540x30</t>
  </si>
  <si>
    <t>Primi        Latitudine</t>
  </si>
  <si>
    <t>Primi         Longitudine</t>
  </si>
  <si>
    <t>Differenza Latitudine</t>
  </si>
  <si>
    <t>Differenza Longitudine</t>
  </si>
  <si>
    <t>130.00</t>
  </si>
  <si>
    <t>Partenza</t>
  </si>
  <si>
    <t>Coordinate</t>
  </si>
  <si>
    <t>Prov.</t>
  </si>
  <si>
    <t>2° Waypoint</t>
  </si>
  <si>
    <t>3° Waypoint</t>
  </si>
  <si>
    <t>4° Waypoint</t>
  </si>
  <si>
    <t>5° Waypoint</t>
  </si>
  <si>
    <t>6° Waypoint</t>
  </si>
  <si>
    <t>1° Waypoint</t>
  </si>
  <si>
    <t>Flyclub Fratte</t>
  </si>
  <si>
    <t>Villa Farsetti</t>
  </si>
  <si>
    <t>Aerdelta</t>
  </si>
  <si>
    <t>Le Sciarpe Bianche</t>
  </si>
  <si>
    <t>Ancona</t>
  </si>
  <si>
    <t>280</t>
  </si>
  <si>
    <t>01/19</t>
  </si>
  <si>
    <t>360x35</t>
  </si>
  <si>
    <t>0141-996503</t>
  </si>
  <si>
    <t>200</t>
  </si>
  <si>
    <t>08/26</t>
  </si>
  <si>
    <t>410x30</t>
  </si>
  <si>
    <t>140</t>
  </si>
  <si>
    <t>04/22</t>
  </si>
  <si>
    <t>Freq. Radio</t>
  </si>
  <si>
    <t>Elev.</t>
  </si>
  <si>
    <t>Note</t>
  </si>
  <si>
    <t>750x20</t>
  </si>
  <si>
    <t>:</t>
  </si>
  <si>
    <t>900x50</t>
  </si>
  <si>
    <t>0384-88097</t>
  </si>
  <si>
    <t>Spessa Po</t>
  </si>
  <si>
    <t>130</t>
  </si>
  <si>
    <t>09/27</t>
  </si>
  <si>
    <t>260</t>
  </si>
  <si>
    <t>18/36</t>
  </si>
  <si>
    <t>300x20</t>
  </si>
  <si>
    <t>175</t>
  </si>
  <si>
    <t>800x55</t>
  </si>
  <si>
    <t>0143-50292</t>
  </si>
  <si>
    <t>238</t>
  </si>
  <si>
    <t>670x20</t>
  </si>
  <si>
    <t>289</t>
  </si>
  <si>
    <t>17/35</t>
  </si>
  <si>
    <t>630x30</t>
  </si>
  <si>
    <t>0175-278685</t>
  </si>
  <si>
    <t>378</t>
  </si>
  <si>
    <t>500x30</t>
  </si>
  <si>
    <t>Montanaro</t>
  </si>
  <si>
    <t>218</t>
  </si>
  <si>
    <t>250</t>
  </si>
  <si>
    <t>360x20</t>
  </si>
  <si>
    <t>147.100</t>
  </si>
  <si>
    <t>336</t>
  </si>
  <si>
    <t>03/21</t>
  </si>
  <si>
    <t>600x30</t>
  </si>
  <si>
    <t>450x60</t>
  </si>
  <si>
    <t>20</t>
  </si>
  <si>
    <t>450x15</t>
  </si>
  <si>
    <t>220</t>
  </si>
  <si>
    <t>Acqui Terme</t>
  </si>
  <si>
    <t>15/33</t>
  </si>
  <si>
    <t>127.00</t>
  </si>
  <si>
    <t>0144-324297</t>
  </si>
  <si>
    <t>Pianfei</t>
  </si>
  <si>
    <t>Alpi Marittime</t>
  </si>
  <si>
    <t>435</t>
  </si>
  <si>
    <t>06/24</t>
  </si>
  <si>
    <t>420</t>
  </si>
  <si>
    <t>358</t>
  </si>
  <si>
    <t>450x30</t>
  </si>
  <si>
    <t>119.55</t>
  </si>
  <si>
    <t>0173-87027</t>
  </si>
  <si>
    <t>290</t>
  </si>
  <si>
    <t>400x30</t>
  </si>
  <si>
    <t>310</t>
  </si>
  <si>
    <t>13/31</t>
  </si>
  <si>
    <t>480x25</t>
  </si>
  <si>
    <t>0172-40196</t>
  </si>
  <si>
    <t>100</t>
  </si>
  <si>
    <t>07/25</t>
  </si>
  <si>
    <t>146.400</t>
  </si>
  <si>
    <t>65</t>
  </si>
  <si>
    <t>600x20</t>
  </si>
  <si>
    <t>2</t>
  </si>
  <si>
    <t>500x20</t>
  </si>
  <si>
    <t>60</t>
  </si>
  <si>
    <t>14/32</t>
  </si>
  <si>
    <t>700x25</t>
  </si>
  <si>
    <t>Gela</t>
  </si>
  <si>
    <t>Club Aeronautico Gela</t>
  </si>
  <si>
    <t>15</t>
  </si>
  <si>
    <t>23/05</t>
  </si>
  <si>
    <t>550x30</t>
  </si>
  <si>
    <t>144.05</t>
  </si>
  <si>
    <t>55</t>
  </si>
  <si>
    <t>10/28</t>
  </si>
  <si>
    <t>400x25</t>
  </si>
  <si>
    <t>Crespiatica</t>
  </si>
  <si>
    <t>80</t>
  </si>
  <si>
    <t>400x40</t>
  </si>
  <si>
    <t>Dovera</t>
  </si>
  <si>
    <t>Turbo Fly</t>
  </si>
  <si>
    <t>79</t>
  </si>
  <si>
    <t>16/34</t>
  </si>
  <si>
    <t>22</t>
  </si>
  <si>
    <t>11/29</t>
  </si>
  <si>
    <t>110</t>
  </si>
  <si>
    <t>05/23</t>
  </si>
  <si>
    <t>500x60</t>
  </si>
  <si>
    <t>Ferentino</t>
  </si>
  <si>
    <t>280x30</t>
  </si>
  <si>
    <t>Ischitella</t>
  </si>
  <si>
    <t>A.s.v.u. K.Fly</t>
  </si>
  <si>
    <t>5</t>
  </si>
  <si>
    <t>144.12</t>
  </si>
  <si>
    <t>250x40</t>
  </si>
  <si>
    <t>0376-532632</t>
  </si>
  <si>
    <t>149</t>
  </si>
  <si>
    <t>850x22</t>
  </si>
  <si>
    <t>0431-588434</t>
  </si>
  <si>
    <t>17</t>
  </si>
  <si>
    <t>600x25</t>
  </si>
  <si>
    <t>800</t>
  </si>
  <si>
    <t>7</t>
  </si>
  <si>
    <t>1300x30</t>
  </si>
  <si>
    <t>190</t>
  </si>
  <si>
    <t>600x40</t>
  </si>
  <si>
    <t>0432-729778</t>
  </si>
  <si>
    <t>San Donà di Piave</t>
  </si>
  <si>
    <t>Caposile</t>
  </si>
  <si>
    <t>1</t>
  </si>
  <si>
    <t>22/04</t>
  </si>
  <si>
    <t>0421-230222</t>
  </si>
  <si>
    <t>500x18</t>
  </si>
  <si>
    <t>350x20</t>
  </si>
  <si>
    <t>Arcole</t>
  </si>
  <si>
    <t>Il Fantasma</t>
  </si>
  <si>
    <t>240</t>
  </si>
  <si>
    <t>350x60</t>
  </si>
  <si>
    <t>50</t>
  </si>
  <si>
    <t>30</t>
  </si>
  <si>
    <t>850x40</t>
  </si>
  <si>
    <t>051-796994</t>
  </si>
  <si>
    <t>1000x95</t>
  </si>
  <si>
    <t>38</t>
  </si>
  <si>
    <t>450x40</t>
  </si>
  <si>
    <t>130.10</t>
  </si>
  <si>
    <t>051-863782</t>
  </si>
  <si>
    <t>740x45</t>
  </si>
  <si>
    <t>055-8428373</t>
  </si>
  <si>
    <t>740x100</t>
  </si>
  <si>
    <t>055-8408809</t>
  </si>
  <si>
    <t>12</t>
  </si>
  <si>
    <t>24/06</t>
  </si>
  <si>
    <t>0586-761901</t>
  </si>
  <si>
    <t>Salsomaggiore Terme</t>
  </si>
  <si>
    <t>Club L'Altro Volo</t>
  </si>
  <si>
    <t>150</t>
  </si>
  <si>
    <t>02/20</t>
  </si>
  <si>
    <t>0524-574045</t>
  </si>
  <si>
    <t>Ravarino</t>
  </si>
  <si>
    <t>Avio Club Ravarino</t>
  </si>
  <si>
    <t>0761/250510</t>
  </si>
  <si>
    <t>071-977773</t>
  </si>
  <si>
    <t>Piovera</t>
  </si>
  <si>
    <t>340-8579030</t>
  </si>
  <si>
    <t>Identificativo</t>
  </si>
  <si>
    <t>Consumo Medio (Litri/ora)</t>
  </si>
  <si>
    <t>Capacità Serbatoio (Litri)</t>
  </si>
  <si>
    <t>Lunghezza minima pista (Metri)</t>
  </si>
  <si>
    <t>12/30</t>
  </si>
  <si>
    <t>Busseto</t>
  </si>
  <si>
    <t>La Torretta</t>
  </si>
  <si>
    <t>40</t>
  </si>
  <si>
    <t>300x30</t>
  </si>
  <si>
    <t>430x50</t>
  </si>
  <si>
    <t>245</t>
  </si>
  <si>
    <t>32-14</t>
  </si>
  <si>
    <t>860x30</t>
  </si>
  <si>
    <t>0337-706652</t>
  </si>
  <si>
    <t>330</t>
  </si>
  <si>
    <t>875x23</t>
  </si>
  <si>
    <t>0575-740394</t>
  </si>
  <si>
    <t>10</t>
  </si>
  <si>
    <t>350x50</t>
  </si>
  <si>
    <t>650x25</t>
  </si>
  <si>
    <t>119,55</t>
  </si>
  <si>
    <t>880x40</t>
  </si>
  <si>
    <t>380x40</t>
  </si>
  <si>
    <t>San Giuliano Terme</t>
  </si>
  <si>
    <t>330x20</t>
  </si>
  <si>
    <t>58</t>
  </si>
  <si>
    <t>31/!3</t>
  </si>
  <si>
    <t>1000x30</t>
  </si>
  <si>
    <t>0587-630024</t>
  </si>
  <si>
    <t>215</t>
  </si>
  <si>
    <t>430x25</t>
  </si>
  <si>
    <t>550x35</t>
  </si>
  <si>
    <t>Ciannocio</t>
  </si>
  <si>
    <t>330x30</t>
  </si>
  <si>
    <t>Acquasparta</t>
  </si>
  <si>
    <t>300x50</t>
  </si>
  <si>
    <t>315</t>
  </si>
  <si>
    <t>146.250</t>
  </si>
  <si>
    <t>370x25</t>
  </si>
  <si>
    <t>120</t>
  </si>
  <si>
    <t>Nuvolera</t>
  </si>
  <si>
    <t>030-6897239</t>
  </si>
  <si>
    <t>300</t>
  </si>
  <si>
    <t>650x40</t>
  </si>
  <si>
    <t>146.63</t>
  </si>
  <si>
    <t>14</t>
  </si>
  <si>
    <t>0773-643653</t>
  </si>
  <si>
    <t>25</t>
  </si>
  <si>
    <t>400x45</t>
  </si>
  <si>
    <t>720x40</t>
  </si>
  <si>
    <t>650x30</t>
  </si>
  <si>
    <t>310x20</t>
  </si>
  <si>
    <t>06-85356646</t>
  </si>
  <si>
    <t>410x25</t>
  </si>
  <si>
    <t>0766-898294</t>
  </si>
  <si>
    <t>980</t>
  </si>
  <si>
    <t>1000x38</t>
  </si>
  <si>
    <t>06-4504913</t>
  </si>
  <si>
    <t>820</t>
  </si>
  <si>
    <t>460x30</t>
  </si>
  <si>
    <t>Tambre</t>
  </si>
  <si>
    <t>910</t>
  </si>
  <si>
    <t>240x25</t>
  </si>
  <si>
    <t>1200x50</t>
  </si>
  <si>
    <t>0828-54355</t>
  </si>
  <si>
    <t>0</t>
  </si>
  <si>
    <t>360x25</t>
  </si>
  <si>
    <t>480x30</t>
  </si>
  <si>
    <t>450</t>
  </si>
  <si>
    <t>0835-581454</t>
  </si>
  <si>
    <t>78</t>
  </si>
  <si>
    <t>460x50</t>
  </si>
  <si>
    <t>285</t>
  </si>
  <si>
    <t>300x10</t>
  </si>
  <si>
    <t>148</t>
  </si>
  <si>
    <t>540x25</t>
  </si>
  <si>
    <t>56</t>
  </si>
  <si>
    <t>380x25</t>
  </si>
  <si>
    <t>350x25</t>
  </si>
  <si>
    <t>0421200224</t>
  </si>
  <si>
    <t>Trike Team Cormorano</t>
  </si>
  <si>
    <t>Tipo</t>
  </si>
  <si>
    <t>Rotta</t>
  </si>
  <si>
    <t>Consumo</t>
  </si>
  <si>
    <t>Totale</t>
  </si>
  <si>
    <t>Dimensioni</t>
  </si>
  <si>
    <t>280x25</t>
  </si>
  <si>
    <t>90</t>
  </si>
  <si>
    <t>640x35</t>
  </si>
  <si>
    <t>0445-380883</t>
  </si>
  <si>
    <t>180</t>
  </si>
  <si>
    <t>67</t>
  </si>
  <si>
    <t>Centro di Volo Serristori</t>
  </si>
  <si>
    <t>274</t>
  </si>
  <si>
    <t>520x35</t>
  </si>
  <si>
    <t>0575-658851</t>
  </si>
  <si>
    <t>Avio Club Siracusa</t>
  </si>
  <si>
    <t>0931-721573</t>
  </si>
  <si>
    <t>243</t>
  </si>
  <si>
    <t>35/17</t>
  </si>
  <si>
    <t>Mestrino</t>
  </si>
  <si>
    <t>Big House Club</t>
  </si>
  <si>
    <t>35</t>
  </si>
  <si>
    <t>375x30</t>
  </si>
  <si>
    <t>800x50</t>
  </si>
  <si>
    <t>0321-33368</t>
  </si>
  <si>
    <t>147</t>
  </si>
  <si>
    <t>27/09</t>
  </si>
  <si>
    <t>145</t>
  </si>
  <si>
    <t>435x40</t>
  </si>
  <si>
    <t>76</t>
  </si>
  <si>
    <t>537</t>
  </si>
  <si>
    <t>520x40</t>
  </si>
  <si>
    <t>0874-311029</t>
  </si>
  <si>
    <t>Montaldo Uffugo</t>
  </si>
  <si>
    <t>500x25</t>
  </si>
  <si>
    <t>Teggiano</t>
  </si>
  <si>
    <t>448</t>
  </si>
  <si>
    <t>34/16</t>
  </si>
  <si>
    <t>800x35</t>
  </si>
  <si>
    <t>116</t>
  </si>
  <si>
    <t>611</t>
  </si>
  <si>
    <t>1110x25</t>
  </si>
  <si>
    <t>123.45</t>
  </si>
  <si>
    <t>124.00</t>
  </si>
  <si>
    <t>3</t>
  </si>
  <si>
    <t>92</t>
  </si>
  <si>
    <t>450x23</t>
  </si>
  <si>
    <t>0831844637</t>
  </si>
  <si>
    <t>600x45</t>
  </si>
  <si>
    <t>480</t>
  </si>
  <si>
    <t>450x20</t>
  </si>
  <si>
    <t>570</t>
  </si>
  <si>
    <t>250x20</t>
  </si>
  <si>
    <t>0963-65336</t>
  </si>
  <si>
    <t>Benevento</t>
  </si>
  <si>
    <t>Club Aereo Nino De Filippo</t>
  </si>
  <si>
    <t>195</t>
  </si>
  <si>
    <t>450x50</t>
  </si>
  <si>
    <t>21</t>
  </si>
  <si>
    <t>850x25</t>
  </si>
  <si>
    <t>123.00</t>
  </si>
  <si>
    <t>059-660080</t>
  </si>
  <si>
    <t>26</t>
  </si>
  <si>
    <t>470x25</t>
  </si>
  <si>
    <t>680</t>
  </si>
  <si>
    <t>850x30</t>
  </si>
  <si>
    <t>122.60</t>
  </si>
  <si>
    <t>0536-23554</t>
  </si>
  <si>
    <t>580x30</t>
  </si>
  <si>
    <t>0521-833534</t>
  </si>
  <si>
    <t>1850x45</t>
  </si>
  <si>
    <t>170</t>
  </si>
  <si>
    <t>700x35</t>
  </si>
  <si>
    <t>216</t>
  </si>
  <si>
    <t>530x25</t>
  </si>
  <si>
    <t>Ugento</t>
  </si>
  <si>
    <t>70</t>
  </si>
  <si>
    <t>550x24</t>
  </si>
  <si>
    <t>146.00</t>
  </si>
  <si>
    <t>8</t>
  </si>
  <si>
    <t>550x34</t>
  </si>
  <si>
    <t>4</t>
  </si>
  <si>
    <t>820x20</t>
  </si>
  <si>
    <t>0941-721732</t>
  </si>
  <si>
    <t>Mercato Saraceno</t>
  </si>
  <si>
    <t>45</t>
  </si>
  <si>
    <t>307</t>
  </si>
  <si>
    <t>19/01</t>
  </si>
  <si>
    <t>660x20</t>
  </si>
  <si>
    <t>Valeggio sul Mincio</t>
  </si>
  <si>
    <t>Centro volo ulm Scaligero</t>
  </si>
  <si>
    <t>68</t>
  </si>
  <si>
    <t>260x25</t>
  </si>
  <si>
    <t>300x25</t>
  </si>
  <si>
    <t>Belricetto</t>
  </si>
  <si>
    <t>11</t>
  </si>
  <si>
    <t>450x21</t>
  </si>
  <si>
    <t>285x30</t>
  </si>
  <si>
    <t>115</t>
  </si>
  <si>
    <t>143.100</t>
  </si>
  <si>
    <t>620x40</t>
  </si>
  <si>
    <t>1200x60</t>
  </si>
  <si>
    <t>0434363677</t>
  </si>
  <si>
    <t>83</t>
  </si>
  <si>
    <t>Sesto al Reghena</t>
  </si>
  <si>
    <t>Pajaro Loco</t>
  </si>
  <si>
    <t>415x22</t>
  </si>
  <si>
    <t>500</t>
  </si>
  <si>
    <t>200x30</t>
  </si>
  <si>
    <t>30/12</t>
  </si>
  <si>
    <t>63</t>
  </si>
  <si>
    <t>200x44</t>
  </si>
  <si>
    <t>95</t>
  </si>
  <si>
    <t>840x30</t>
  </si>
  <si>
    <t>230x25</t>
  </si>
  <si>
    <t>056652608</t>
  </si>
  <si>
    <t>6</t>
  </si>
  <si>
    <t>750x35</t>
  </si>
  <si>
    <t>118.00</t>
  </si>
  <si>
    <t>197</t>
  </si>
  <si>
    <t>450x35</t>
  </si>
  <si>
    <t>120.35</t>
  </si>
  <si>
    <t>530x35</t>
  </si>
  <si>
    <t>Caorle</t>
  </si>
  <si>
    <t>Mazarack</t>
  </si>
  <si>
    <t>0421-84119</t>
  </si>
  <si>
    <t>Pasiano</t>
  </si>
  <si>
    <t>340x25</t>
  </si>
  <si>
    <t>28</t>
  </si>
  <si>
    <t>604x20</t>
  </si>
  <si>
    <t>070-965059</t>
  </si>
  <si>
    <t>226</t>
  </si>
  <si>
    <t>290x30</t>
  </si>
  <si>
    <t>510</t>
  </si>
  <si>
    <t>600x38</t>
  </si>
  <si>
    <t>840</t>
  </si>
  <si>
    <t>Thiesi</t>
  </si>
  <si>
    <t>Aeroclub l'Aviatore</t>
  </si>
  <si>
    <t>18</t>
  </si>
  <si>
    <t>128</t>
  </si>
  <si>
    <t>75</t>
  </si>
  <si>
    <t>Caravaggio</t>
  </si>
  <si>
    <t>Guardo Tadino</t>
  </si>
  <si>
    <t>165</t>
  </si>
  <si>
    <t>860x40</t>
  </si>
  <si>
    <t>Agazzano</t>
  </si>
  <si>
    <t>Le Merline</t>
  </si>
  <si>
    <t>29/11</t>
  </si>
  <si>
    <t>375x20</t>
  </si>
  <si>
    <t>3281141742</t>
  </si>
  <si>
    <t>Castrovillari</t>
  </si>
  <si>
    <t>Volo Club Castrovillari</t>
  </si>
  <si>
    <t>640</t>
  </si>
  <si>
    <t>0731-779913</t>
  </si>
  <si>
    <t>02-90848854</t>
  </si>
  <si>
    <t>385</t>
  </si>
  <si>
    <t>812x30</t>
  </si>
  <si>
    <t>0437-30667</t>
  </si>
  <si>
    <t>32</t>
  </si>
  <si>
    <t>800x29</t>
  </si>
  <si>
    <t>0543-764260</t>
  </si>
  <si>
    <t>203</t>
  </si>
  <si>
    <t>122.5</t>
  </si>
  <si>
    <t>0143-71898</t>
  </si>
  <si>
    <t>Samolaco</t>
  </si>
  <si>
    <t>A.V.L.U.</t>
  </si>
  <si>
    <t>210</t>
  </si>
  <si>
    <t>880x23</t>
  </si>
  <si>
    <t>129.50</t>
  </si>
  <si>
    <t>670</t>
  </si>
  <si>
    <t>1410x23</t>
  </si>
  <si>
    <t>Mortegliano</t>
  </si>
  <si>
    <t>340x12</t>
  </si>
  <si>
    <t>Mineo</t>
  </si>
  <si>
    <t>340x60</t>
  </si>
  <si>
    <t>Maglie</t>
  </si>
  <si>
    <t>250x30</t>
  </si>
  <si>
    <t>147.5 WHF</t>
  </si>
  <si>
    <t>119.725</t>
  </si>
  <si>
    <t>0442-22065</t>
  </si>
  <si>
    <t>16</t>
  </si>
  <si>
    <t>1300x50</t>
  </si>
  <si>
    <t>119.65</t>
  </si>
  <si>
    <t>0721-865480</t>
  </si>
  <si>
    <t>Vasto</t>
  </si>
  <si>
    <t>320x20</t>
  </si>
  <si>
    <t>Costa del Monte</t>
  </si>
  <si>
    <t>28/10</t>
  </si>
  <si>
    <t>120x10</t>
  </si>
  <si>
    <t>130.00 - 146.500</t>
  </si>
  <si>
    <t>400x24</t>
  </si>
  <si>
    <t>385x30</t>
  </si>
  <si>
    <t>270x10</t>
  </si>
  <si>
    <t>147.1</t>
  </si>
  <si>
    <t>917x45</t>
  </si>
  <si>
    <t>0832-896050</t>
  </si>
  <si>
    <t>900x45</t>
  </si>
  <si>
    <t>Sutri</t>
  </si>
  <si>
    <t>263</t>
  </si>
  <si>
    <t>0761-600380</t>
  </si>
  <si>
    <t>Cielo Blu</t>
  </si>
  <si>
    <t>S.Vincenzo</t>
  </si>
  <si>
    <t>Il Gabbiano</t>
  </si>
  <si>
    <t>Manciano</t>
  </si>
  <si>
    <t>Flying Buttero</t>
  </si>
  <si>
    <t>280x20</t>
  </si>
  <si>
    <t>Castelletto Stura</t>
  </si>
  <si>
    <t>457</t>
  </si>
  <si>
    <t>Cizzago</t>
  </si>
  <si>
    <t>Santa Lucia</t>
  </si>
  <si>
    <t>330x27</t>
  </si>
  <si>
    <t>Benevagienna</t>
  </si>
  <si>
    <t>400</t>
  </si>
  <si>
    <t>420x20</t>
  </si>
  <si>
    <t>Isola della Scala</t>
  </si>
  <si>
    <t>375x25</t>
  </si>
  <si>
    <t>Selva del Montello</t>
  </si>
  <si>
    <t>144.35</t>
  </si>
  <si>
    <t>Codognè</t>
  </si>
  <si>
    <t>52</t>
  </si>
  <si>
    <t>Sabbioneta</t>
  </si>
  <si>
    <t>400x22</t>
  </si>
  <si>
    <t>Calvisano</t>
  </si>
  <si>
    <t>66</t>
  </si>
  <si>
    <t>340x23</t>
  </si>
  <si>
    <t>Sissa</t>
  </si>
  <si>
    <t>43</t>
  </si>
  <si>
    <t>500x32</t>
  </si>
  <si>
    <t>Porto Tolle</t>
  </si>
  <si>
    <t>Agriturismo Caprissio</t>
  </si>
  <si>
    <t>042680053</t>
  </si>
  <si>
    <t>Santa Giustina</t>
  </si>
  <si>
    <t>339-1058197</t>
  </si>
  <si>
    <t>438x20</t>
  </si>
  <si>
    <t>Fontanellato</t>
  </si>
  <si>
    <t>San Benedetto</t>
  </si>
  <si>
    <t>Arquà Polesine</t>
  </si>
  <si>
    <t>Corte Bariani</t>
  </si>
  <si>
    <t>Masera di Padova</t>
  </si>
  <si>
    <t>9</t>
  </si>
  <si>
    <t>180x20</t>
  </si>
  <si>
    <t>0522-632417</t>
  </si>
  <si>
    <t>Reggio Emilia</t>
  </si>
  <si>
    <t>47</t>
  </si>
  <si>
    <t>1400x30</t>
  </si>
  <si>
    <t>127.15</t>
  </si>
  <si>
    <t>0522-511650</t>
  </si>
  <si>
    <t>Caerano San Marco</t>
  </si>
  <si>
    <t>San Marco Volo</t>
  </si>
  <si>
    <t>S. Giustina</t>
  </si>
  <si>
    <t>Fant Air Club</t>
  </si>
  <si>
    <t>17/34</t>
  </si>
  <si>
    <t>Pozzilli</t>
  </si>
  <si>
    <t>205</t>
  </si>
  <si>
    <t>400x35</t>
  </si>
  <si>
    <t>Povoletto</t>
  </si>
  <si>
    <t>132</t>
  </si>
  <si>
    <t>Notaresco</t>
  </si>
  <si>
    <t>Palmo di Zeus</t>
  </si>
  <si>
    <t>860</t>
  </si>
  <si>
    <t>335-5275687</t>
  </si>
  <si>
    <t>Nogara</t>
  </si>
  <si>
    <t>Club Aquile Randagie</t>
  </si>
  <si>
    <t>Cascia</t>
  </si>
  <si>
    <t>850</t>
  </si>
  <si>
    <t>700x15</t>
  </si>
  <si>
    <t>Eremo della Giubilana</t>
  </si>
  <si>
    <t>427</t>
  </si>
  <si>
    <t>700x20</t>
  </si>
  <si>
    <t>131.00</t>
  </si>
  <si>
    <t>790x18</t>
  </si>
  <si>
    <t>Artogne</t>
  </si>
  <si>
    <t>Le Tese</t>
  </si>
  <si>
    <t>389</t>
  </si>
  <si>
    <t>830x50</t>
  </si>
  <si>
    <t>Castellaneta</t>
  </si>
  <si>
    <t>335-5404546</t>
  </si>
  <si>
    <t>Anagni</t>
  </si>
  <si>
    <t>212</t>
  </si>
  <si>
    <t>Cp</t>
  </si>
  <si>
    <t>RSM</t>
  </si>
  <si>
    <t xml:space="preserve">Valle al Pero </t>
  </si>
  <si>
    <t>Zerbolò  Quadrifoglio</t>
  </si>
  <si>
    <t>Valle D'Aosta</t>
  </si>
  <si>
    <t>Aosta</t>
  </si>
  <si>
    <t>Saint Christope LIMW</t>
  </si>
  <si>
    <t>0165-236966</t>
  </si>
  <si>
    <t>Chamois</t>
  </si>
  <si>
    <t>Ass. Valdostana</t>
  </si>
  <si>
    <t>308x20</t>
  </si>
  <si>
    <t>0166-47171</t>
  </si>
  <si>
    <t>Novi Ligure LIMR</t>
  </si>
  <si>
    <t>Campolungo</t>
  </si>
  <si>
    <t xml:space="preserve">Ass. Alpi Graie </t>
  </si>
  <si>
    <t>Pegasus 2000</t>
  </si>
  <si>
    <t>ULM Alessandria</t>
  </si>
  <si>
    <t>Cascina Ploia</t>
  </si>
  <si>
    <t>S. Giuliano Vecchio</t>
  </si>
  <si>
    <t>Costigliole d' Asti</t>
  </si>
  <si>
    <t>Ondalba - Baroli</t>
  </si>
  <si>
    <t>Revello Renato - Gorra</t>
  </si>
  <si>
    <t>Bosio Guido</t>
  </si>
  <si>
    <t>Sant'Elia</t>
  </si>
  <si>
    <t>Cascina Landa</t>
  </si>
  <si>
    <t>Cosmos</t>
  </si>
  <si>
    <t>Ultraleggeri del Canavese</t>
  </si>
  <si>
    <t>The Eagles - S. Pancrazio</t>
  </si>
  <si>
    <t>Riva presso Cheri</t>
  </si>
  <si>
    <t>Alessandria LILA</t>
  </si>
  <si>
    <t>Casale Monferrato</t>
  </si>
  <si>
    <t>Casale Monferrato LILM</t>
  </si>
  <si>
    <t>Biella</t>
  </si>
  <si>
    <t>Biella Cerrione LILE</t>
  </si>
  <si>
    <t>Pantane</t>
  </si>
  <si>
    <t>Alituscia</t>
  </si>
  <si>
    <t>347-2753525</t>
  </si>
  <si>
    <t>Cuneo</t>
  </si>
  <si>
    <t>Cuneo Levaldigi LIMZ</t>
  </si>
  <si>
    <t>Torino</t>
  </si>
  <si>
    <t>Torino Aeritalia LIMA</t>
  </si>
  <si>
    <t>Torino Caselle LIMF</t>
  </si>
  <si>
    <t>Vercelli</t>
  </si>
  <si>
    <t>Vercelli LILI</t>
  </si>
  <si>
    <t>Garzigliana</t>
  </si>
  <si>
    <t>Merlo Romano</t>
  </si>
  <si>
    <t>Ivrea</t>
  </si>
  <si>
    <t>Montalto Dora</t>
  </si>
  <si>
    <t>Vigone</t>
  </si>
  <si>
    <t>Piper Dancing</t>
  </si>
  <si>
    <t>Gattinara</t>
  </si>
  <si>
    <t>Alice Bel Colle</t>
  </si>
  <si>
    <t>Regione Costa</t>
  </si>
  <si>
    <t>Villanova D'Asti</t>
  </si>
  <si>
    <t>Mal d'Aria - Stella Polare</t>
  </si>
  <si>
    <t>Cerreto Castello</t>
  </si>
  <si>
    <t>Mongrando</t>
  </si>
  <si>
    <t>Alpi Delta Biella</t>
  </si>
  <si>
    <t>Le Streghe</t>
  </si>
  <si>
    <t>Sozzago</t>
  </si>
  <si>
    <t>Pinerolo</t>
  </si>
  <si>
    <t>Andrea Bozzo</t>
  </si>
  <si>
    <t>Strambino</t>
  </si>
  <si>
    <t>Carrone Fly</t>
  </si>
  <si>
    <t>Virle Piemonte</t>
  </si>
  <si>
    <t>Pellicano</t>
  </si>
  <si>
    <t>315x31</t>
  </si>
  <si>
    <t>338-2157616</t>
  </si>
  <si>
    <t>590x20</t>
  </si>
  <si>
    <t>347-3622275</t>
  </si>
  <si>
    <t>347-1228703</t>
  </si>
  <si>
    <t>335-5737514</t>
  </si>
  <si>
    <t>190x20</t>
  </si>
  <si>
    <t>015-2536453</t>
  </si>
  <si>
    <t>200x60</t>
  </si>
  <si>
    <t>120x14</t>
  </si>
  <si>
    <t>0144-74113</t>
  </si>
  <si>
    <t>585x30</t>
  </si>
  <si>
    <t>0163-89261</t>
  </si>
  <si>
    <t>282x26</t>
  </si>
  <si>
    <t>0141-946245</t>
  </si>
  <si>
    <t>0125-650225</t>
  </si>
  <si>
    <t>0121-541131</t>
  </si>
  <si>
    <t>0131-223296</t>
  </si>
  <si>
    <t>0142-452556</t>
  </si>
  <si>
    <t>015-671918</t>
  </si>
  <si>
    <t>0172-374374</t>
  </si>
  <si>
    <t>011-7790916</t>
  </si>
  <si>
    <t>011-5676361</t>
  </si>
  <si>
    <t>790x40</t>
  </si>
  <si>
    <t>0161-250791</t>
  </si>
  <si>
    <t>Castiglion Fiorentino</t>
  </si>
  <si>
    <t>La Collina</t>
  </si>
  <si>
    <t>Ulm Cecina - Cedrino</t>
  </si>
  <si>
    <t>Valdera di Capannoli</t>
  </si>
  <si>
    <t>AeC Pisa Valdera</t>
  </si>
  <si>
    <t>Pratello di Libbiano</t>
  </si>
  <si>
    <t>S Rita di Cinigiano</t>
  </si>
  <si>
    <t>Vivoli</t>
  </si>
  <si>
    <t>Dedalo - La Pieve</t>
  </si>
  <si>
    <t>Venturina</t>
  </si>
  <si>
    <t>Sky Sport Europe</t>
  </si>
  <si>
    <t>Delta Condor Club</t>
  </si>
  <si>
    <t>Pievefosciana</t>
  </si>
  <si>
    <t>Club Corradino d'Ascanio</t>
  </si>
  <si>
    <t>Arezzo</t>
  </si>
  <si>
    <t>Arezzo LIQB</t>
  </si>
  <si>
    <t>800x70</t>
  </si>
  <si>
    <t>0575-324282</t>
  </si>
  <si>
    <t>Firenze</t>
  </si>
  <si>
    <t>055-30615</t>
  </si>
  <si>
    <t>Grosseto</t>
  </si>
  <si>
    <t>Grosseto LIRS</t>
  </si>
  <si>
    <t>0564-492779</t>
  </si>
  <si>
    <t>Livorno</t>
  </si>
  <si>
    <t>Marina di Campo LIRJ</t>
  </si>
  <si>
    <t>0565-976011</t>
  </si>
  <si>
    <t>Lucca</t>
  </si>
  <si>
    <t>Lucca Tassignano LIQL</t>
  </si>
  <si>
    <t>910x18</t>
  </si>
  <si>
    <t>0583-936062</t>
  </si>
  <si>
    <t>Massa</t>
  </si>
  <si>
    <t>Massa Cinquale LILQ</t>
  </si>
  <si>
    <t>720x50</t>
  </si>
  <si>
    <t>0585-309088</t>
  </si>
  <si>
    <t>Pisa</t>
  </si>
  <si>
    <t>Pisa S. Giusto LIRP</t>
  </si>
  <si>
    <t>050-849111</t>
  </si>
  <si>
    <t>Siena</t>
  </si>
  <si>
    <t>Siena Ampugnano LIQS</t>
  </si>
  <si>
    <t>057-392238</t>
  </si>
  <si>
    <t>S. Giustino Valdarno</t>
  </si>
  <si>
    <t>Il Borro</t>
  </si>
  <si>
    <t>900x28</t>
  </si>
  <si>
    <t>055-977053</t>
  </si>
  <si>
    <t>Albinia di Orbetello</t>
  </si>
  <si>
    <t>Costa Argento - Parrina</t>
  </si>
  <si>
    <t>780x40</t>
  </si>
  <si>
    <t>0564-871141</t>
  </si>
  <si>
    <t>Monteverdi Marittimo</t>
  </si>
  <si>
    <t>Consalvo</t>
  </si>
  <si>
    <t>0565-784238</t>
  </si>
  <si>
    <t>Empoli</t>
  </si>
  <si>
    <t>Corte Nuova</t>
  </si>
  <si>
    <t>330x50</t>
  </si>
  <si>
    <t>348-5103554</t>
  </si>
  <si>
    <t>Terra del Sole</t>
  </si>
  <si>
    <t>420x26</t>
  </si>
  <si>
    <t>333-6842102</t>
  </si>
  <si>
    <t>Terra Rossa</t>
  </si>
  <si>
    <t>337-717869</t>
  </si>
  <si>
    <t>Campiglia Marittima</t>
  </si>
  <si>
    <t>Val di Cornia</t>
  </si>
  <si>
    <t>230x30</t>
  </si>
  <si>
    <t>338-9350852</t>
  </si>
  <si>
    <t>Castagneto Carducci</t>
  </si>
  <si>
    <t>Delta Club Donoratico</t>
  </si>
  <si>
    <t>320x28</t>
  </si>
  <si>
    <t>335-5410014</t>
  </si>
  <si>
    <t>333-4593791</t>
  </si>
  <si>
    <t>338-2875884</t>
  </si>
  <si>
    <t>339-7742853</t>
  </si>
  <si>
    <t>0587-606859</t>
  </si>
  <si>
    <t>339-7772874</t>
  </si>
  <si>
    <t>330-979294</t>
  </si>
  <si>
    <t>339-7155611</t>
  </si>
  <si>
    <t>MI</t>
  </si>
  <si>
    <t>MN</t>
  </si>
  <si>
    <t>PV</t>
  </si>
  <si>
    <t>SO</t>
  </si>
  <si>
    <t>VA</t>
  </si>
  <si>
    <t>AN</t>
  </si>
  <si>
    <t>AP</t>
  </si>
  <si>
    <t>MC</t>
  </si>
  <si>
    <t>PU</t>
  </si>
  <si>
    <t>CB</t>
  </si>
  <si>
    <t>IS</t>
  </si>
  <si>
    <t>AL</t>
  </si>
  <si>
    <t>AT</t>
  </si>
  <si>
    <t>BI</t>
  </si>
  <si>
    <t>CN</t>
  </si>
  <si>
    <t>CU</t>
  </si>
  <si>
    <t>NO</t>
  </si>
  <si>
    <t>TO</t>
  </si>
  <si>
    <t>VB</t>
  </si>
  <si>
    <t>VC</t>
  </si>
  <si>
    <t>BA</t>
  </si>
  <si>
    <t>BR</t>
  </si>
  <si>
    <t>FG</t>
  </si>
  <si>
    <t>LE</t>
  </si>
  <si>
    <t>TA</t>
  </si>
  <si>
    <t>CA</t>
  </si>
  <si>
    <t>NU</t>
  </si>
  <si>
    <t>OR</t>
  </si>
  <si>
    <t>SS</t>
  </si>
  <si>
    <t>AG</t>
  </si>
  <si>
    <t>CL</t>
  </si>
  <si>
    <t>CT</t>
  </si>
  <si>
    <t>ME</t>
  </si>
  <si>
    <t>PA</t>
  </si>
  <si>
    <t>RG</t>
  </si>
  <si>
    <t>SR</t>
  </si>
  <si>
    <t>TP</t>
  </si>
  <si>
    <t>AR</t>
  </si>
  <si>
    <t>FI</t>
  </si>
  <si>
    <t>GR</t>
  </si>
  <si>
    <t>LI</t>
  </si>
  <si>
    <t>LU</t>
  </si>
  <si>
    <t>MS</t>
  </si>
  <si>
    <t>PI</t>
  </si>
  <si>
    <t>PT</t>
  </si>
  <si>
    <t>SI</t>
  </si>
  <si>
    <t>BZ</t>
  </si>
  <si>
    <t>TN</t>
  </si>
  <si>
    <t>PG</t>
  </si>
  <si>
    <t>TR</t>
  </si>
  <si>
    <t>AO</t>
  </si>
  <si>
    <t>BL</t>
  </si>
  <si>
    <t>PD</t>
  </si>
  <si>
    <t>RO</t>
  </si>
  <si>
    <t>TV</t>
  </si>
  <si>
    <t>VE</t>
  </si>
  <si>
    <t>VI</t>
  </si>
  <si>
    <t>VR</t>
  </si>
  <si>
    <t>AQ</t>
  </si>
  <si>
    <t>CH</t>
  </si>
  <si>
    <t>PE</t>
  </si>
  <si>
    <t>TE</t>
  </si>
  <si>
    <t>MT</t>
  </si>
  <si>
    <t>PZ</t>
  </si>
  <si>
    <t>CS</t>
  </si>
  <si>
    <t>CZ</t>
  </si>
  <si>
    <t>KR</t>
  </si>
  <si>
    <t>RC</t>
  </si>
  <si>
    <t>VV</t>
  </si>
  <si>
    <t>BN</t>
  </si>
  <si>
    <t>CE</t>
  </si>
  <si>
    <t>NA</t>
  </si>
  <si>
    <t>SA</t>
  </si>
  <si>
    <t>BO</t>
  </si>
  <si>
    <t>FE</t>
  </si>
  <si>
    <t>FO</t>
  </si>
  <si>
    <t>MO</t>
  </si>
  <si>
    <t>PC</t>
  </si>
  <si>
    <t>PR</t>
  </si>
  <si>
    <t>RA</t>
  </si>
  <si>
    <t>RE</t>
  </si>
  <si>
    <t>RN</t>
  </si>
  <si>
    <t>GO</t>
  </si>
  <si>
    <t>PN</t>
  </si>
  <si>
    <t>UD</t>
  </si>
  <si>
    <t>FR</t>
  </si>
  <si>
    <t>LT</t>
  </si>
  <si>
    <t>RI</t>
  </si>
  <si>
    <t>RM</t>
  </si>
  <si>
    <t>VT</t>
  </si>
  <si>
    <t>GE</t>
  </si>
  <si>
    <t>SP</t>
  </si>
  <si>
    <t>SV</t>
  </si>
  <si>
    <t>BG</t>
  </si>
  <si>
    <t>BS</t>
  </si>
  <si>
    <t>CO</t>
  </si>
  <si>
    <t>CR</t>
  </si>
  <si>
    <t>LC</t>
  </si>
  <si>
    <t>LO</t>
  </si>
  <si>
    <t>347-8009852</t>
  </si>
  <si>
    <t>347-2522152</t>
  </si>
  <si>
    <t>338-1275983</t>
  </si>
  <si>
    <t>Foligno</t>
  </si>
  <si>
    <t>Foligno LIAF</t>
  </si>
  <si>
    <t>0742-670201</t>
  </si>
  <si>
    <t>Avio Team - Piedimonte</t>
  </si>
  <si>
    <t>Aquile Tifernati - Userna</t>
  </si>
  <si>
    <t>335-5424324</t>
  </si>
  <si>
    <t>Panicale</t>
  </si>
  <si>
    <t>Panicarola</t>
  </si>
  <si>
    <t>906x25</t>
  </si>
  <si>
    <t>335-7791098</t>
  </si>
  <si>
    <t>Castel Viscardo</t>
  </si>
  <si>
    <t>Alfina</t>
  </si>
  <si>
    <t>0761-250510</t>
  </si>
  <si>
    <t>Castel Ritaldi</t>
  </si>
  <si>
    <t>Ali Libere - La Bruna</t>
  </si>
  <si>
    <t>335-5216950</t>
  </si>
  <si>
    <t>Bonsciano</t>
  </si>
  <si>
    <t>230x40</t>
  </si>
  <si>
    <t>338-6742106</t>
  </si>
  <si>
    <t>Pietralunga</t>
  </si>
  <si>
    <t>La Vetta</t>
  </si>
  <si>
    <t>430x24</t>
  </si>
  <si>
    <t>347-4660084</t>
  </si>
  <si>
    <t>Umbertide</t>
  </si>
  <si>
    <t>Pierantonio</t>
  </si>
  <si>
    <t>Ass. Volo Todi</t>
  </si>
  <si>
    <t>240x40</t>
  </si>
  <si>
    <t>075-9414253</t>
  </si>
  <si>
    <t>485x30</t>
  </si>
  <si>
    <t>075-8942153</t>
  </si>
  <si>
    <t>Otricoli</t>
  </si>
  <si>
    <t>Palazzone</t>
  </si>
  <si>
    <t>Amici del Volo</t>
  </si>
  <si>
    <t>340x26</t>
  </si>
  <si>
    <t>339-3752898</t>
  </si>
  <si>
    <t>348-3210334</t>
  </si>
  <si>
    <t>338-5272888</t>
  </si>
  <si>
    <t>0337-653149</t>
  </si>
  <si>
    <t>075-9460649</t>
  </si>
  <si>
    <t>335-5687901</t>
  </si>
  <si>
    <t>330-745869</t>
  </si>
  <si>
    <t>347-5474929</t>
  </si>
  <si>
    <t>338-8860775</t>
  </si>
  <si>
    <t>347-6141424</t>
  </si>
  <si>
    <t>0733-549901</t>
  </si>
  <si>
    <t>340-5260683</t>
  </si>
  <si>
    <t>360-892957</t>
  </si>
  <si>
    <t>347-8533543</t>
  </si>
  <si>
    <t>330-522197</t>
  </si>
  <si>
    <t>335-6916084</t>
  </si>
  <si>
    <t>340-3497489</t>
  </si>
  <si>
    <t>0121-902451</t>
  </si>
  <si>
    <t>335-6749587</t>
  </si>
  <si>
    <t>338-6046085</t>
  </si>
  <si>
    <t>347-1047320</t>
  </si>
  <si>
    <t>324-35731</t>
  </si>
  <si>
    <t>339-8678404</t>
  </si>
  <si>
    <t>338-8751721</t>
  </si>
  <si>
    <t>360-300806</t>
  </si>
  <si>
    <t>335-290479</t>
  </si>
  <si>
    <t>328-7895347</t>
  </si>
  <si>
    <t>347-2236244</t>
  </si>
  <si>
    <t>330-204511</t>
  </si>
  <si>
    <t>331-913022</t>
  </si>
  <si>
    <t>331-273238</t>
  </si>
  <si>
    <t>348-7121955</t>
  </si>
  <si>
    <t>011-9862610</t>
  </si>
  <si>
    <t>335-6397632</t>
  </si>
  <si>
    <t>335-8259416</t>
  </si>
  <si>
    <t>335-243536</t>
  </si>
  <si>
    <t>E. Romagna</t>
  </si>
  <si>
    <t>Prov</t>
  </si>
  <si>
    <t>Wp</t>
  </si>
  <si>
    <t>Dimens.                              (metri)</t>
  </si>
  <si>
    <t xml:space="preserve">338-6205408 </t>
  </si>
  <si>
    <t>06-90151102</t>
  </si>
  <si>
    <t>Pontedera</t>
  </si>
  <si>
    <t>368-3456307</t>
  </si>
  <si>
    <t>338-2080826</t>
  </si>
  <si>
    <t>348-4425670</t>
  </si>
  <si>
    <t>011-9884666</t>
  </si>
  <si>
    <t>Volo Molise AVM</t>
  </si>
  <si>
    <t>Termoli</t>
  </si>
  <si>
    <t>Molise Ultravolo</t>
  </si>
  <si>
    <t>0875-706125</t>
  </si>
  <si>
    <t>0875-539995</t>
  </si>
  <si>
    <t>600x15</t>
  </si>
  <si>
    <t>Campomarino</t>
  </si>
  <si>
    <t>Arcora</t>
  </si>
  <si>
    <t>Termon - Club Puma</t>
  </si>
  <si>
    <t>Barco di Levico</t>
  </si>
  <si>
    <t>Club Pecore Nere</t>
  </si>
  <si>
    <t>425x20</t>
  </si>
  <si>
    <t>0461-947523</t>
  </si>
  <si>
    <t>Bolzano</t>
  </si>
  <si>
    <t>Trento</t>
  </si>
  <si>
    <t>Bolzano LIPB</t>
  </si>
  <si>
    <t>Trento Mattarello LIDT</t>
  </si>
  <si>
    <t>0471-255255</t>
  </si>
  <si>
    <t>0461-944355</t>
  </si>
  <si>
    <t>980x30</t>
  </si>
  <si>
    <t>Volo Vasto</t>
  </si>
  <si>
    <t>L'Aquila</t>
  </si>
  <si>
    <t>I-0000</t>
  </si>
  <si>
    <t>328-6569414</t>
  </si>
  <si>
    <t xml:space="preserve">339-4801496  </t>
  </si>
  <si>
    <t xml:space="preserve">030-972109 </t>
  </si>
  <si>
    <t>06-88588106</t>
  </si>
  <si>
    <t>337-746993</t>
  </si>
  <si>
    <t>054-7302145</t>
  </si>
  <si>
    <t>L'Aquila Preturo LIAP</t>
  </si>
  <si>
    <t>Loc. Accio Sottano</t>
  </si>
  <si>
    <t>Aeragri sas</t>
  </si>
  <si>
    <t>Olivari di Rombiolo</t>
  </si>
  <si>
    <t>La Selva</t>
  </si>
  <si>
    <t>Capaccio Paestum</t>
  </si>
  <si>
    <t>Rieti LIQN</t>
  </si>
  <si>
    <t>Flying Sabaudia</t>
  </si>
  <si>
    <t>Santo Stefano</t>
  </si>
  <si>
    <t>Club Arrow</t>
  </si>
  <si>
    <t>Grugnole di Nettuno</t>
  </si>
  <si>
    <t>Arma 2000</t>
  </si>
  <si>
    <t>Carocci</t>
  </si>
  <si>
    <t>San Lazzaro</t>
  </si>
  <si>
    <t>Vallicella</t>
  </si>
  <si>
    <t>IL Grifo</t>
  </si>
  <si>
    <t>Sangermano-ACLI</t>
  </si>
  <si>
    <t>Lecce Lepore LINL</t>
  </si>
  <si>
    <t>Simeone D'Antona</t>
  </si>
  <si>
    <t>Lamasanta Piccola</t>
  </si>
  <si>
    <t>420x50</t>
  </si>
  <si>
    <t>0831-304033</t>
  </si>
  <si>
    <t>Vega ULM</t>
  </si>
  <si>
    <t>Lecce Fondone</t>
  </si>
  <si>
    <t>Monticchio</t>
  </si>
  <si>
    <t>Aerotre - Bottano</t>
  </si>
  <si>
    <t>Antica Sardegna</t>
  </si>
  <si>
    <t>Avio Club Paternò</t>
  </si>
  <si>
    <t>Marina di Modica</t>
  </si>
  <si>
    <t>0862-461013</t>
  </si>
  <si>
    <t>338-1629857</t>
  </si>
  <si>
    <t>348-7072177</t>
  </si>
  <si>
    <t>348-2211049</t>
  </si>
  <si>
    <t>348-8401526</t>
  </si>
  <si>
    <t>097-565627</t>
  </si>
  <si>
    <t>329-6193471</t>
  </si>
  <si>
    <t>338-7233316</t>
  </si>
  <si>
    <t>338-5203269</t>
  </si>
  <si>
    <t>368-7590704</t>
  </si>
  <si>
    <t>339-4271142</t>
  </si>
  <si>
    <t>335-460145</t>
  </si>
  <si>
    <t>347-6108826</t>
  </si>
  <si>
    <t>337-948426</t>
  </si>
  <si>
    <t>0828-724458</t>
  </si>
  <si>
    <t>328-4747974</t>
  </si>
  <si>
    <t>337-721245</t>
  </si>
  <si>
    <t>348-9005815</t>
  </si>
  <si>
    <t>348-8829818</t>
  </si>
  <si>
    <t>329-2982370</t>
  </si>
  <si>
    <t>340-2462681</t>
  </si>
  <si>
    <t>335-6603086</t>
  </si>
  <si>
    <t>333-3345845</t>
  </si>
  <si>
    <t>360-510234</t>
  </si>
  <si>
    <t>335-6635986</t>
  </si>
  <si>
    <t>347-6418987</t>
  </si>
  <si>
    <t>333-6271100</t>
  </si>
  <si>
    <t>333-802577</t>
  </si>
  <si>
    <t>337-819036</t>
  </si>
  <si>
    <t>347-9055422</t>
  </si>
  <si>
    <t>338-2204501</t>
  </si>
  <si>
    <t>338-8884333</t>
  </si>
  <si>
    <t>338-9066726</t>
  </si>
  <si>
    <t>347-2761174</t>
  </si>
  <si>
    <t>347-8217851</t>
  </si>
  <si>
    <t>337-888349</t>
  </si>
  <si>
    <t>347-2297976</t>
  </si>
  <si>
    <t>347-0378806</t>
  </si>
  <si>
    <t>330-528903</t>
  </si>
  <si>
    <t>347-9235589</t>
  </si>
  <si>
    <t>Gorizia</t>
  </si>
  <si>
    <t>Gorizia LIPG</t>
  </si>
  <si>
    <t>0481-20744</t>
  </si>
  <si>
    <t>180-90</t>
  </si>
  <si>
    <t>270-90</t>
  </si>
  <si>
    <t>90-270</t>
  </si>
  <si>
    <t>Ronchi Dei Legionari LIPQ</t>
  </si>
  <si>
    <t>0481-773225</t>
  </si>
  <si>
    <t>Udine</t>
  </si>
  <si>
    <t>Campoformido LIPD</t>
  </si>
  <si>
    <t>730x40</t>
  </si>
  <si>
    <t>0432-69455</t>
  </si>
  <si>
    <t>Enemonzo</t>
  </si>
  <si>
    <t>520x70</t>
  </si>
  <si>
    <t>0433-45115</t>
  </si>
  <si>
    <t>Osoppo</t>
  </si>
  <si>
    <t>Nino Pittini - AVRO</t>
  </si>
  <si>
    <t>650x80</t>
  </si>
  <si>
    <t>0432-986250</t>
  </si>
  <si>
    <t>Trivigiano Udinese</t>
  </si>
  <si>
    <t>Ass. Volo Friuli</t>
  </si>
  <si>
    <t>0432-510512</t>
  </si>
  <si>
    <t>Cordovado</t>
  </si>
  <si>
    <t>240x24</t>
  </si>
  <si>
    <t>8° Waypoint</t>
  </si>
  <si>
    <t>9° Waypoint</t>
  </si>
  <si>
    <t>10° Waypoint</t>
  </si>
  <si>
    <t>11° Waypoint</t>
  </si>
  <si>
    <t>12° Waypoint</t>
  </si>
  <si>
    <t>13° Waypoint</t>
  </si>
  <si>
    <t>14° Waypoint</t>
  </si>
  <si>
    <t>15° Waypoint</t>
  </si>
  <si>
    <t>0434-68241</t>
  </si>
  <si>
    <t>348-7271599</t>
  </si>
  <si>
    <t>348-7310320</t>
  </si>
  <si>
    <t>Chiasselis</t>
  </si>
  <si>
    <t>Bertiolo</t>
  </si>
  <si>
    <t>Al Ranch</t>
  </si>
  <si>
    <t>0432-917169</t>
  </si>
  <si>
    <t>Cividale del Friuli</t>
  </si>
  <si>
    <t>Galliano</t>
  </si>
  <si>
    <t>338-7031163</t>
  </si>
  <si>
    <t>Pavia di Udine</t>
  </si>
  <si>
    <t>SG Fly Evolution</t>
  </si>
  <si>
    <t>335-251378</t>
  </si>
  <si>
    <t>San Vito al Torre</t>
  </si>
  <si>
    <t>Nogaredo</t>
  </si>
  <si>
    <t>270x40</t>
  </si>
  <si>
    <t>335-6410930</t>
  </si>
  <si>
    <t>310x23</t>
  </si>
  <si>
    <t>0432-906332</t>
  </si>
  <si>
    <t>Valle Gafaro</t>
  </si>
  <si>
    <t>AeC Ferrara</t>
  </si>
  <si>
    <t>Villafranca di Forlì</t>
  </si>
  <si>
    <t>A.LI Soccorso</t>
  </si>
  <si>
    <t>Club Aeronautico N.P.C.</t>
  </si>
  <si>
    <t>Willy il Coyote</t>
  </si>
  <si>
    <t>Istrana LIPS</t>
  </si>
  <si>
    <t>05</t>
  </si>
  <si>
    <t>Butterfly Due</t>
  </si>
  <si>
    <t>Trieste</t>
  </si>
  <si>
    <t>Prosecco</t>
  </si>
  <si>
    <t xml:space="preserve">333 3863970 </t>
  </si>
  <si>
    <t>Aviano LIPA</t>
  </si>
  <si>
    <t>02</t>
  </si>
  <si>
    <t>36</t>
  </si>
  <si>
    <t>2900x60</t>
  </si>
  <si>
    <t>128.40</t>
  </si>
  <si>
    <t>0434-363677</t>
  </si>
  <si>
    <t>Calledro</t>
  </si>
  <si>
    <t>Quattro Venti Calledro</t>
  </si>
  <si>
    <t>630x25</t>
  </si>
  <si>
    <t>450X30</t>
  </si>
  <si>
    <t>LIAT</t>
  </si>
  <si>
    <t>1100X45</t>
  </si>
  <si>
    <t>125.75</t>
  </si>
  <si>
    <t>400X20</t>
  </si>
  <si>
    <t>Capalbio</t>
  </si>
  <si>
    <t>Selvanera</t>
  </si>
  <si>
    <t>Bucine</t>
  </si>
  <si>
    <t>Le Vincaie</t>
  </si>
  <si>
    <t>200X15</t>
  </si>
  <si>
    <t>328-4758218</t>
  </si>
  <si>
    <t>Sigonella</t>
  </si>
  <si>
    <t>Ae militare LICZ</t>
  </si>
  <si>
    <t>2000x60</t>
  </si>
  <si>
    <t>118.05</t>
  </si>
  <si>
    <t>Air fly</t>
  </si>
  <si>
    <t>Decimannu (CA) LIED</t>
  </si>
  <si>
    <t>08</t>
  </si>
  <si>
    <t>070-9662200</t>
  </si>
  <si>
    <t>Galatina mil LIBN</t>
  </si>
  <si>
    <t>2990x40</t>
  </si>
  <si>
    <t>118.95 122.1 119,55</t>
  </si>
  <si>
    <t>Amendola</t>
  </si>
  <si>
    <t>Ameldola Mil LIBA</t>
  </si>
  <si>
    <t>2780x45</t>
  </si>
  <si>
    <t>Gioiadelcolle LIBV</t>
  </si>
  <si>
    <t>122.1 122.45</t>
  </si>
  <si>
    <t>Andria</t>
  </si>
  <si>
    <t>Ali sul Castello</t>
  </si>
  <si>
    <t>0883-545731</t>
  </si>
  <si>
    <t>Moncucco</t>
  </si>
  <si>
    <t>Càmeri (NO) LIMN</t>
  </si>
  <si>
    <t>31</t>
  </si>
  <si>
    <t>2990X60</t>
  </si>
  <si>
    <t>Cherasco</t>
  </si>
  <si>
    <t>Malabaila</t>
  </si>
  <si>
    <t>485X30</t>
  </si>
  <si>
    <t>Predosa</t>
  </si>
  <si>
    <t>Recanati</t>
  </si>
  <si>
    <t>480X20</t>
  </si>
  <si>
    <t xml:space="preserve">Ghedi (BS) LIPL </t>
  </si>
  <si>
    <t>119.90</t>
  </si>
  <si>
    <t>Vall'Orbara</t>
  </si>
  <si>
    <t>Ferrari Adriano</t>
  </si>
  <si>
    <t>730x45</t>
  </si>
  <si>
    <t xml:space="preserve">Pomezia (Roma) LIRE </t>
  </si>
  <si>
    <t>39</t>
  </si>
  <si>
    <t>Tecnam - P 92</t>
  </si>
  <si>
    <t>Tecnam - P 96</t>
  </si>
  <si>
    <t>Alpi Aviation - Pioneer 200</t>
  </si>
  <si>
    <t>Alpi Aviation - Pioneer 300</t>
  </si>
  <si>
    <t>Audema Avio - Savage</t>
  </si>
  <si>
    <t>Pilota</t>
  </si>
  <si>
    <t>Coavio Service - DF2000</t>
  </si>
  <si>
    <t>Dea - YumaEuro</t>
  </si>
  <si>
    <t>Euroala - Jet Fox</t>
  </si>
  <si>
    <t>Fly Synthesis - Storch</t>
  </si>
  <si>
    <t>Fly Synthesis - Texan</t>
  </si>
  <si>
    <t>FlyItalia - Dynamic</t>
  </si>
  <si>
    <t>FlyItalia - Eurofox</t>
  </si>
  <si>
    <t>Flylab - Tucano</t>
  </si>
  <si>
    <t>Flylab - Delta 3</t>
  </si>
  <si>
    <t>Nando Groppo - Groppino</t>
  </si>
  <si>
    <t>Nando Groppo - Zenair</t>
  </si>
  <si>
    <t>Nando Groppo - CH 601</t>
  </si>
  <si>
    <t>S.A.L. - Kitfox IV</t>
  </si>
  <si>
    <t>SG Aviation - Storm 280</t>
  </si>
  <si>
    <t>SG Aviation - Storm 300</t>
  </si>
  <si>
    <t>SG Aviation - Storm RG</t>
  </si>
  <si>
    <t>Vidor - Asso V</t>
  </si>
  <si>
    <t>So.Ger. - CT</t>
  </si>
  <si>
    <t>SAI - G97 Spotter</t>
  </si>
  <si>
    <t>Pipistrel - Sinus</t>
  </si>
  <si>
    <t>Pipistrel - Virus</t>
  </si>
  <si>
    <t>VOLMET</t>
  </si>
  <si>
    <t>Freq.         VOLMET      (Mhz)</t>
  </si>
  <si>
    <t>S.Anna</t>
  </si>
  <si>
    <t>Paestum</t>
  </si>
  <si>
    <t>Piacenza Mil</t>
  </si>
  <si>
    <t>Pratica Di Mare Mil</t>
  </si>
  <si>
    <t>Decimomannu Mil</t>
  </si>
  <si>
    <t>Càmeri Mil</t>
  </si>
  <si>
    <t>Flyroma</t>
  </si>
  <si>
    <t>Ghedi mil</t>
  </si>
  <si>
    <t>Loc. Mezzana</t>
  </si>
  <si>
    <t>Treviso Istriana Mil</t>
  </si>
  <si>
    <t>BO10</t>
  </si>
  <si>
    <t>Ampagnano</t>
  </si>
  <si>
    <t>La Comina</t>
  </si>
  <si>
    <t>ETE</t>
  </si>
  <si>
    <t>Lunghezza Minima Pista      (Metri):</t>
  </si>
  <si>
    <t>Tempo Volo Previsto         (hh:mm):</t>
  </si>
  <si>
    <t>Autonomia Totale Volo      (hh:mm):</t>
  </si>
  <si>
    <t>Autonomia di Riserva       (hh:mm):</t>
  </si>
  <si>
    <t>Durata Missione Totale      (hh:mm):</t>
  </si>
  <si>
    <t>Distanza Totale Missione            (Km)</t>
  </si>
  <si>
    <t>Consumo Medio                     (Litri/ora):</t>
  </si>
  <si>
    <t>Carburante Imbarcato  Partenza   (Lt):</t>
  </si>
  <si>
    <t>Totale (Lt):</t>
  </si>
  <si>
    <t>Necessario      (Lt):</t>
  </si>
  <si>
    <t>Montecompatri</t>
  </si>
  <si>
    <t>Artena</t>
  </si>
  <si>
    <t>NIMITZ</t>
  </si>
  <si>
    <t>06-9647717</t>
  </si>
  <si>
    <t>660x25</t>
  </si>
  <si>
    <t>La Celsetta</t>
  </si>
  <si>
    <t>Sezze</t>
  </si>
  <si>
    <t>Del Brasiliano</t>
  </si>
  <si>
    <t>600X40</t>
  </si>
  <si>
    <t>Profughi</t>
  </si>
  <si>
    <t>Colle Casies</t>
  </si>
  <si>
    <t>BZ2</t>
  </si>
  <si>
    <t>690x25</t>
  </si>
  <si>
    <t>122.55</t>
  </si>
  <si>
    <t>348-4226332</t>
  </si>
  <si>
    <t>Rivolto mil</t>
  </si>
  <si>
    <t>Rivolto LIPI</t>
  </si>
  <si>
    <t>13</t>
  </si>
  <si>
    <t>03</t>
  </si>
  <si>
    <t>Fraforeano LIDJ</t>
  </si>
  <si>
    <t>Cervia</t>
  </si>
  <si>
    <t>Cervia mil LIPC</t>
  </si>
  <si>
    <t>Piacenza LIMS</t>
  </si>
  <si>
    <t>54</t>
  </si>
  <si>
    <t>09</t>
  </si>
  <si>
    <t>2990x50</t>
  </si>
  <si>
    <t>Argenta</t>
  </si>
  <si>
    <t>Grazzanise</t>
  </si>
  <si>
    <t>Grazzanise LIRM</t>
  </si>
  <si>
    <t>Vibo Valentia</t>
  </si>
  <si>
    <t>Mileto</t>
  </si>
  <si>
    <t>Cosenza</t>
  </si>
  <si>
    <t>Fuscaldo</t>
  </si>
  <si>
    <t>100x30</t>
  </si>
  <si>
    <t>TS</t>
  </si>
  <si>
    <t>Devil</t>
  </si>
  <si>
    <t>AG1</t>
  </si>
  <si>
    <t>AL1</t>
  </si>
  <si>
    <t>AL2</t>
  </si>
  <si>
    <t>AL3</t>
  </si>
  <si>
    <t>AL4</t>
  </si>
  <si>
    <t>AL5</t>
  </si>
  <si>
    <t>AL6</t>
  </si>
  <si>
    <t>AL7</t>
  </si>
  <si>
    <t>AL9</t>
  </si>
  <si>
    <t>AN1</t>
  </si>
  <si>
    <t>AN2</t>
  </si>
  <si>
    <t>AN3</t>
  </si>
  <si>
    <t>AN4</t>
  </si>
  <si>
    <t>AO1</t>
  </si>
  <si>
    <t>AO2</t>
  </si>
  <si>
    <t>AP1</t>
  </si>
  <si>
    <t>AP2</t>
  </si>
  <si>
    <t>AQ1</t>
  </si>
  <si>
    <t>AQ2</t>
  </si>
  <si>
    <t>AQ3</t>
  </si>
  <si>
    <t>AQ4</t>
  </si>
  <si>
    <t>AQ5</t>
  </si>
  <si>
    <t>AQ6</t>
  </si>
  <si>
    <t>AR1</t>
  </si>
  <si>
    <t>AR2</t>
  </si>
  <si>
    <t>AR3</t>
  </si>
  <si>
    <t>AR4</t>
  </si>
  <si>
    <t>AR5</t>
  </si>
  <si>
    <t>AR6</t>
  </si>
  <si>
    <t>AT1</t>
  </si>
  <si>
    <t>AT2</t>
  </si>
  <si>
    <t>AT3</t>
  </si>
  <si>
    <t>AT4</t>
  </si>
  <si>
    <t>BA1</t>
  </si>
  <si>
    <t>BA2</t>
  </si>
  <si>
    <t>BA3</t>
  </si>
  <si>
    <t>BA4</t>
  </si>
  <si>
    <t>BA5</t>
  </si>
  <si>
    <t>BA6</t>
  </si>
  <si>
    <t>BA7</t>
  </si>
  <si>
    <t>BG1</t>
  </si>
  <si>
    <t>BG2</t>
  </si>
  <si>
    <t>BG3</t>
  </si>
  <si>
    <t>BG4</t>
  </si>
  <si>
    <t>BI1</t>
  </si>
  <si>
    <t>BI2</t>
  </si>
  <si>
    <t>BI3</t>
  </si>
  <si>
    <t>BI4</t>
  </si>
  <si>
    <t>BL1</t>
  </si>
  <si>
    <t>BL2</t>
  </si>
  <si>
    <t>BL3</t>
  </si>
  <si>
    <t>BL4</t>
  </si>
  <si>
    <t>BL5</t>
  </si>
  <si>
    <t>BL6</t>
  </si>
  <si>
    <t>BL7</t>
  </si>
  <si>
    <t>BN1</t>
  </si>
  <si>
    <t>BN2</t>
  </si>
  <si>
    <t>BO1</t>
  </si>
  <si>
    <t>BO2</t>
  </si>
  <si>
    <t>BO3</t>
  </si>
  <si>
    <t>BO4</t>
  </si>
  <si>
    <t>BO5</t>
  </si>
  <si>
    <t>BO6</t>
  </si>
  <si>
    <t>BO7</t>
  </si>
  <si>
    <t>BO8</t>
  </si>
  <si>
    <t>BO9</t>
  </si>
  <si>
    <t>BR1</t>
  </si>
  <si>
    <t>BR2</t>
  </si>
  <si>
    <t>BR3</t>
  </si>
  <si>
    <t>BS1</t>
  </si>
  <si>
    <t>BS2</t>
  </si>
  <si>
    <t>BS3</t>
  </si>
  <si>
    <t>BS5</t>
  </si>
  <si>
    <t>BS6</t>
  </si>
  <si>
    <t>BS7</t>
  </si>
  <si>
    <t>BS8</t>
  </si>
  <si>
    <t>BS9</t>
  </si>
  <si>
    <t>BS10</t>
  </si>
  <si>
    <t>BS11</t>
  </si>
  <si>
    <t>BS12</t>
  </si>
  <si>
    <t>BS13</t>
  </si>
  <si>
    <t>BZ1</t>
  </si>
  <si>
    <t>BS4</t>
  </si>
  <si>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</si>
  <si>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</si>
  <si>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</si>
  <si>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</si>
  <si>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</si>
  <si>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</si>
  <si>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</si>
  <si>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</si>
  <si>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</si>
  <si>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</si>
  <si>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</si>
  <si>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</si>
  <si>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CB1</t>
  </si>
  <si>
    <t>CB2</t>
  </si>
  <si>
    <t>CB3</t>
  </si>
  <si>
    <t>CE1</t>
  </si>
  <si>
    <t>CE2</t>
  </si>
  <si>
    <t>CE3</t>
  </si>
  <si>
    <t>CE4</t>
  </si>
  <si>
    <t>CE5</t>
  </si>
  <si>
    <t>CE6</t>
  </si>
  <si>
    <t>CE7</t>
  </si>
  <si>
    <t>CH1</t>
  </si>
  <si>
    <t>CL1</t>
  </si>
  <si>
    <t>CL2</t>
  </si>
  <si>
    <t>CL3</t>
  </si>
  <si>
    <t>CL4</t>
  </si>
  <si>
    <t>CL5</t>
  </si>
  <si>
    <t>CL6</t>
  </si>
  <si>
    <t>CN1</t>
  </si>
  <si>
    <t>CN2</t>
  </si>
  <si>
    <t>CN3</t>
  </si>
  <si>
    <t>CN5</t>
  </si>
  <si>
    <t>CN6</t>
  </si>
  <si>
    <t>CN4</t>
  </si>
  <si>
    <t>CN7</t>
  </si>
  <si>
    <t>CN8</t>
  </si>
  <si>
    <t>CN9</t>
  </si>
  <si>
    <t>CN10</t>
  </si>
  <si>
    <t>CO1</t>
  </si>
  <si>
    <t>CO2</t>
  </si>
  <si>
    <t>CO3</t>
  </si>
  <si>
    <t>CR1</t>
  </si>
  <si>
    <t>CR2</t>
  </si>
  <si>
    <t>CR3</t>
  </si>
  <si>
    <t>CS2</t>
  </si>
  <si>
    <t>CS4</t>
  </si>
  <si>
    <t>CS5</t>
  </si>
  <si>
    <t>CS6</t>
  </si>
  <si>
    <t>CS7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</si>
  <si>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</si>
  <si>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</si>
  <si>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</si>
  <si>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</si>
  <si>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</si>
  <si>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</si>
  <si>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</si>
  <si>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</si>
  <si>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</si>
  <si>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CZ1</t>
  </si>
  <si>
    <t>CU1</t>
  </si>
  <si>
    <t>FE1</t>
  </si>
  <si>
    <t>FE2</t>
  </si>
  <si>
    <t>FE3</t>
  </si>
  <si>
    <t>FE4</t>
  </si>
  <si>
    <t>FE5</t>
  </si>
  <si>
    <t>FE6</t>
  </si>
  <si>
    <t>FE7</t>
  </si>
  <si>
    <t>FE8</t>
  </si>
  <si>
    <t>FE9</t>
  </si>
  <si>
    <t>FG1</t>
  </si>
  <si>
    <t>FG2</t>
  </si>
  <si>
    <t>FG3</t>
  </si>
  <si>
    <t>FG4</t>
  </si>
  <si>
    <t>FG5</t>
  </si>
  <si>
    <t>FI1</t>
  </si>
  <si>
    <t>FI2</t>
  </si>
  <si>
    <t>FI3</t>
  </si>
  <si>
    <t>FI4</t>
  </si>
  <si>
    <t>FO1</t>
  </si>
  <si>
    <t>FO2</t>
  </si>
  <si>
    <t>FO3</t>
  </si>
  <si>
    <t>FO4</t>
  </si>
  <si>
    <t>FO5</t>
  </si>
  <si>
    <t>FR1</t>
  </si>
  <si>
    <t>FR2</t>
  </si>
  <si>
    <t>FR3</t>
  </si>
  <si>
    <t>FR4</t>
  </si>
  <si>
    <t>FR5</t>
  </si>
  <si>
    <t>FR6</t>
  </si>
  <si>
    <t>GE1</t>
  </si>
  <si>
    <t>GE2</t>
  </si>
  <si>
    <t>GO1</t>
  </si>
  <si>
    <t>GO2</t>
  </si>
  <si>
    <t>GR1</t>
  </si>
  <si>
    <t>GR2</t>
  </si>
  <si>
    <t>GR3</t>
  </si>
  <si>
    <t>GR5</t>
  </si>
  <si>
    <t>GR6</t>
  </si>
  <si>
    <t>GR7</t>
  </si>
  <si>
    <t>GR8</t>
  </si>
  <si>
    <t>GR9</t>
  </si>
  <si>
    <t>GR4</t>
  </si>
  <si>
    <t>GR10</t>
  </si>
  <si>
    <t>GR11</t>
  </si>
  <si>
    <t>IS1</t>
  </si>
  <si>
    <t>KR1</t>
  </si>
  <si>
    <t>KR2</t>
  </si>
  <si>
    <t>LC1</t>
  </si>
  <si>
    <t>LE1</t>
  </si>
  <si>
    <t>LE2</t>
  </si>
  <si>
    <t>LE3</t>
  </si>
  <si>
    <t>LE4</t>
  </si>
  <si>
    <t>LE5</t>
  </si>
  <si>
    <t>LE6</t>
  </si>
  <si>
    <t>LE7</t>
  </si>
  <si>
    <t>LI1</t>
  </si>
  <si>
    <t>LI2</t>
  </si>
  <si>
    <t>LI3</t>
  </si>
  <si>
    <t>LI4</t>
  </si>
  <si>
    <t>LI5</t>
  </si>
  <si>
    <t>LI6</t>
  </si>
  <si>
    <t>LI7</t>
  </si>
  <si>
    <t>LI8</t>
  </si>
  <si>
    <t>LI9</t>
  </si>
  <si>
    <t>LO1</t>
  </si>
  <si>
    <t>LO2</t>
  </si>
  <si>
    <t>LO3</t>
  </si>
  <si>
    <t>LT1</t>
  </si>
  <si>
    <t>LT2</t>
  </si>
  <si>
    <t>LT3</t>
  </si>
  <si>
    <t>LT4</t>
  </si>
  <si>
    <t>LT5</t>
  </si>
  <si>
    <t>LT6</t>
  </si>
  <si>
    <t>LT7</t>
  </si>
  <si>
    <t>LT8</t>
  </si>
  <si>
    <t>LU1</t>
  </si>
  <si>
    <t>LU2</t>
  </si>
  <si>
    <t>LU3</t>
  </si>
  <si>
    <t>MC1</t>
  </si>
  <si>
    <t>MC2</t>
  </si>
  <si>
    <t>MC3</t>
  </si>
  <si>
    <t>MC4</t>
  </si>
  <si>
    <t>MC5</t>
  </si>
  <si>
    <t>ME1</t>
  </si>
  <si>
    <t>ME2</t>
  </si>
  <si>
    <t>ME3</t>
  </si>
  <si>
    <t>MI1</t>
  </si>
  <si>
    <t>MI2</t>
  </si>
  <si>
    <t>MI3</t>
  </si>
  <si>
    <t>MI4</t>
  </si>
  <si>
    <t>MI5</t>
  </si>
  <si>
    <t>MI6</t>
  </si>
  <si>
    <t>MI7</t>
  </si>
  <si>
    <t>MI8</t>
  </si>
  <si>
    <t>MI9</t>
  </si>
  <si>
    <t>Amatrice</t>
  </si>
  <si>
    <t>MN1</t>
  </si>
  <si>
    <t>MN2</t>
  </si>
  <si>
    <t>MN3</t>
  </si>
  <si>
    <t>MN4</t>
  </si>
  <si>
    <t>MN5</t>
  </si>
  <si>
    <t>MN6</t>
  </si>
  <si>
    <t>MN7</t>
  </si>
  <si>
    <t>MN8</t>
  </si>
  <si>
    <t>MN9</t>
  </si>
  <si>
    <t>MN10</t>
  </si>
  <si>
    <t>MN11</t>
  </si>
  <si>
    <t>MO1</t>
  </si>
  <si>
    <t>MO2</t>
  </si>
  <si>
    <t>MO3</t>
  </si>
  <si>
    <t>MO4</t>
  </si>
  <si>
    <t>MO5</t>
  </si>
  <si>
    <t>MO6</t>
  </si>
  <si>
    <t>MO7</t>
  </si>
  <si>
    <t>MO8</t>
  </si>
  <si>
    <t>MO9</t>
  </si>
  <si>
    <t>MO10</t>
  </si>
  <si>
    <t>MO11</t>
  </si>
  <si>
    <t>MO12</t>
  </si>
  <si>
    <t>MO13</t>
  </si>
  <si>
    <t>MS1</t>
  </si>
  <si>
    <t>MT1</t>
  </si>
  <si>
    <t>MT2</t>
  </si>
  <si>
    <t>MT3</t>
  </si>
  <si>
    <t>NA1</t>
  </si>
  <si>
    <t>NO1</t>
  </si>
  <si>
    <t>NO2</t>
  </si>
  <si>
    <t>NO3</t>
  </si>
  <si>
    <t>NO4</t>
  </si>
  <si>
    <t>NO5</t>
  </si>
  <si>
    <t>NO6</t>
  </si>
  <si>
    <t>NO7</t>
  </si>
  <si>
    <t>NO8</t>
  </si>
  <si>
    <t>NU1</t>
  </si>
  <si>
    <t>NU2</t>
  </si>
  <si>
    <t>OR1</t>
  </si>
  <si>
    <t>OR2</t>
  </si>
  <si>
    <t>OR3</t>
  </si>
  <si>
    <t>PA1</t>
  </si>
  <si>
    <t>PA2</t>
  </si>
  <si>
    <t>PA3</t>
  </si>
  <si>
    <t>PA4</t>
  </si>
  <si>
    <t>PC1</t>
  </si>
  <si>
    <t>PC2</t>
  </si>
  <si>
    <t>PC3</t>
  </si>
  <si>
    <t>PC4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</si>
  <si>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</si>
  <si>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</si>
  <si>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</si>
  <si>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</si>
  <si>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</si>
  <si>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</si>
  <si>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</si>
  <si>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</si>
  <si>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</si>
  <si>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</si>
  <si>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</si>
  <si>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</si>
  <si>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</si>
  <si>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</si>
  <si>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</si>
  <si>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PE1</t>
  </si>
  <si>
    <t>PE2</t>
  </si>
  <si>
    <t>PE3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</si>
  <si>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</si>
  <si>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</si>
  <si>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</si>
  <si>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</si>
  <si>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</si>
  <si>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</si>
  <si>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</si>
  <si>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</si>
  <si>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</si>
  <si>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</si>
  <si>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</si>
  <si>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</si>
  <si>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</si>
  <si>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PG14</t>
  </si>
  <si>
    <t>PG15</t>
  </si>
  <si>
    <t>PG16</t>
  </si>
  <si>
    <t>PG17</t>
  </si>
  <si>
    <t>PG18</t>
  </si>
  <si>
    <t>PG19</t>
  </si>
  <si>
    <t>PI1</t>
  </si>
  <si>
    <t>PI2</t>
  </si>
  <si>
    <t>PI3</t>
  </si>
  <si>
    <t>PI4</t>
  </si>
  <si>
    <t>PI5</t>
  </si>
  <si>
    <t>PI6</t>
  </si>
  <si>
    <t>PI7</t>
  </si>
  <si>
    <t>PI8</t>
  </si>
  <si>
    <t>PI9</t>
  </si>
  <si>
    <t>PN1</t>
  </si>
  <si>
    <t>PN2</t>
  </si>
  <si>
    <t>PN3</t>
  </si>
  <si>
    <t>PN4</t>
  </si>
  <si>
    <t>PR1</t>
  </si>
  <si>
    <t>PR2</t>
  </si>
  <si>
    <t>PR3</t>
  </si>
  <si>
    <t>PR4</t>
  </si>
  <si>
    <t>PR5</t>
  </si>
  <si>
    <t>PR6</t>
  </si>
  <si>
    <t>PR7</t>
  </si>
  <si>
    <t>PR8</t>
  </si>
  <si>
    <t>PT1</t>
  </si>
  <si>
    <t>PU1</t>
  </si>
  <si>
    <t>PU2</t>
  </si>
  <si>
    <t>PU3</t>
  </si>
  <si>
    <t>PU4</t>
  </si>
  <si>
    <t>PU5</t>
  </si>
  <si>
    <t>PU6</t>
  </si>
  <si>
    <t>PV1</t>
  </si>
  <si>
    <t>PV2</t>
  </si>
  <si>
    <t>PV3</t>
  </si>
  <si>
    <t>PV4</t>
  </si>
  <si>
    <t>PV5</t>
  </si>
  <si>
    <t>PV6</t>
  </si>
  <si>
    <t>PV7</t>
  </si>
  <si>
    <t>PV8</t>
  </si>
  <si>
    <t>PZ1</t>
  </si>
  <si>
    <t>PZ2</t>
  </si>
  <si>
    <t>PZ3</t>
  </si>
  <si>
    <t>RA1</t>
  </si>
  <si>
    <t>RA2</t>
  </si>
  <si>
    <t>RA3</t>
  </si>
  <si>
    <t>RA4</t>
  </si>
  <si>
    <t>RA5</t>
  </si>
  <si>
    <t>RA6</t>
  </si>
  <si>
    <t>RC1</t>
  </si>
  <si>
    <t>RE1</t>
  </si>
  <si>
    <t>RE2</t>
  </si>
  <si>
    <t>RG1</t>
  </si>
  <si>
    <t>RG2</t>
  </si>
  <si>
    <t>RG3</t>
  </si>
  <si>
    <t>RI1</t>
  </si>
  <si>
    <t>RI2</t>
  </si>
  <si>
    <t>RI3</t>
  </si>
  <si>
    <t>RM1</t>
  </si>
  <si>
    <t>RM2</t>
  </si>
  <si>
    <t>RM3</t>
  </si>
  <si>
    <t>RM4</t>
  </si>
  <si>
    <t>RM5</t>
  </si>
  <si>
    <t>RM6</t>
  </si>
  <si>
    <t>RM7</t>
  </si>
  <si>
    <t>RM8</t>
  </si>
  <si>
    <t>RM9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</si>
  <si>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</si>
  <si>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</si>
  <si>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</si>
  <si>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</si>
  <si>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</si>
  <si>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</si>
  <si>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</si>
  <si>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</si>
  <si>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</si>
  <si>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</si>
  <si>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RM20</t>
  </si>
  <si>
    <t>RM21</t>
  </si>
  <si>
    <t>RM22</t>
  </si>
  <si>
    <t>RN1</t>
  </si>
  <si>
    <t>RN2</t>
  </si>
  <si>
    <t>RN3</t>
  </si>
  <si>
    <t>RO1</t>
  </si>
  <si>
    <t>RO2</t>
  </si>
  <si>
    <t>RO3</t>
  </si>
  <si>
    <t>RO4</t>
  </si>
  <si>
    <t>RSM1</t>
  </si>
  <si>
    <t>SA1</t>
  </si>
  <si>
    <t>SA2</t>
  </si>
  <si>
    <t>SA3</t>
  </si>
  <si>
    <t>SA4</t>
  </si>
  <si>
    <t>SA5</t>
  </si>
  <si>
    <t>SA6</t>
  </si>
  <si>
    <t>SI1</t>
  </si>
  <si>
    <t>SI2</t>
  </si>
  <si>
    <t>SI3</t>
  </si>
  <si>
    <t>SO1</t>
  </si>
  <si>
    <t>SO2</t>
  </si>
  <si>
    <t>SO3</t>
  </si>
  <si>
    <t>SP1</t>
  </si>
  <si>
    <t>SP2</t>
  </si>
  <si>
    <t>SR1</t>
  </si>
  <si>
    <t>SR2</t>
  </si>
  <si>
    <t>SS1</t>
  </si>
  <si>
    <t>SS2</t>
  </si>
  <si>
    <t>SS3</t>
  </si>
  <si>
    <t>SS4</t>
  </si>
  <si>
    <t>SS5</t>
  </si>
  <si>
    <t>SS6</t>
  </si>
  <si>
    <t>SS7</t>
  </si>
  <si>
    <t>SV1</t>
  </si>
  <si>
    <t>TA1</t>
  </si>
  <si>
    <t>TA2</t>
  </si>
  <si>
    <t>TA3</t>
  </si>
  <si>
    <t>TA4</t>
  </si>
  <si>
    <t>TE1</t>
  </si>
  <si>
    <t>TE2</t>
  </si>
  <si>
    <t>TE3</t>
  </si>
  <si>
    <t>TE4</t>
  </si>
  <si>
    <t>TN1</t>
  </si>
  <si>
    <t>TN2</t>
  </si>
  <si>
    <t>TN3</t>
  </si>
  <si>
    <t>TO1</t>
  </si>
  <si>
    <t>TO2</t>
  </si>
  <si>
    <t>TO3</t>
  </si>
  <si>
    <t>TO4</t>
  </si>
  <si>
    <t>TO5</t>
  </si>
  <si>
    <t>TO6</t>
  </si>
  <si>
    <t>TO7</t>
  </si>
  <si>
    <t>TO8</t>
  </si>
  <si>
    <t>TO9</t>
  </si>
  <si>
    <t>TO10</t>
  </si>
  <si>
    <t>TO11</t>
  </si>
  <si>
    <t>TO12</t>
  </si>
  <si>
    <t>TO13</t>
  </si>
  <si>
    <t>TO14</t>
  </si>
  <si>
    <t>TO15</t>
  </si>
  <si>
    <t>TO16</t>
  </si>
  <si>
    <t>TO17</t>
  </si>
  <si>
    <t>TO18</t>
  </si>
  <si>
    <t>TP1</t>
  </si>
  <si>
    <t>TP2</t>
  </si>
  <si>
    <t>TP3</t>
  </si>
  <si>
    <t>TP4</t>
  </si>
  <si>
    <t>TR1</t>
  </si>
  <si>
    <t>TR2</t>
  </si>
  <si>
    <t>TR3</t>
  </si>
  <si>
    <t>TR4</t>
  </si>
  <si>
    <t>TR5</t>
  </si>
  <si>
    <t>TR6</t>
  </si>
  <si>
    <t>TR7</t>
  </si>
  <si>
    <t>TS1</t>
  </si>
  <si>
    <t>TV1</t>
  </si>
  <si>
    <t>TV2</t>
  </si>
  <si>
    <t>TV3</t>
  </si>
  <si>
    <t>TV4</t>
  </si>
  <si>
    <t>TV5</t>
  </si>
  <si>
    <t>TV6</t>
  </si>
  <si>
    <t>TV7</t>
  </si>
  <si>
    <t>TV8</t>
  </si>
  <si>
    <t>TV9</t>
  </si>
  <si>
    <t>TV10</t>
  </si>
  <si>
    <t>TV11</t>
  </si>
  <si>
    <t>TV12</t>
  </si>
  <si>
    <t>TV13</t>
  </si>
  <si>
    <t>TV14</t>
  </si>
  <si>
    <t>TV15</t>
  </si>
  <si>
    <t>TV16</t>
  </si>
  <si>
    <t>TV17</t>
  </si>
  <si>
    <t>UD1</t>
  </si>
  <si>
    <t>UD2</t>
  </si>
  <si>
    <t>UD3</t>
  </si>
  <si>
    <t>UD4</t>
  </si>
  <si>
    <t>UD5</t>
  </si>
  <si>
    <t>UD6</t>
  </si>
  <si>
    <t>UD7</t>
  </si>
  <si>
    <t>UD8</t>
  </si>
  <si>
    <t>UD9</t>
  </si>
  <si>
    <t>UD10</t>
  </si>
  <si>
    <t>UD11</t>
  </si>
  <si>
    <t>UD12</t>
  </si>
  <si>
    <t>UD13</t>
  </si>
  <si>
    <t>UD14</t>
  </si>
  <si>
    <t>UD15</t>
  </si>
  <si>
    <t>UD16</t>
  </si>
  <si>
    <t>VA1</t>
  </si>
  <si>
    <t>VA2</t>
  </si>
  <si>
    <t>VA3</t>
  </si>
  <si>
    <t>VA4</t>
  </si>
  <si>
    <t>VA5</t>
  </si>
  <si>
    <t>VB1</t>
  </si>
  <si>
    <t>VC1</t>
  </si>
  <si>
    <t>VC2</t>
  </si>
  <si>
    <t>VC3</t>
  </si>
  <si>
    <t>VC4</t>
  </si>
  <si>
    <t>VE1</t>
  </si>
  <si>
    <t>VE2</t>
  </si>
  <si>
    <t>VE3</t>
  </si>
  <si>
    <t>VE4</t>
  </si>
  <si>
    <t>VE5</t>
  </si>
  <si>
    <t>VE6</t>
  </si>
  <si>
    <t>VE7</t>
  </si>
  <si>
    <t>VE8</t>
  </si>
  <si>
    <t>VE9</t>
  </si>
  <si>
    <t>VE10</t>
  </si>
  <si>
    <t>VE11</t>
  </si>
  <si>
    <t>VE12</t>
  </si>
  <si>
    <t>VI1</t>
  </si>
  <si>
    <t>VI2</t>
  </si>
  <si>
    <t>VI3</t>
  </si>
  <si>
    <t>VI4</t>
  </si>
  <si>
    <t>VI5</t>
  </si>
  <si>
    <t>VI6</t>
  </si>
  <si>
    <t>VI7</t>
  </si>
  <si>
    <t>VI8</t>
  </si>
  <si>
    <t>VI9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</si>
  <si>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</si>
  <si>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</si>
  <si>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</si>
  <si>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</si>
  <si>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</si>
  <si>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</si>
  <si>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</si>
  <si>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</si>
  <si>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</si>
  <si>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</si>
  <si>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</si>
  <si>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</si>
  <si>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</si>
  <si>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VT1</t>
  </si>
  <si>
    <t>VT2</t>
  </si>
  <si>
    <t>VT3</t>
  </si>
  <si>
    <t>VT4</t>
  </si>
  <si>
    <t>VT5</t>
  </si>
  <si>
    <t>VT6</t>
  </si>
  <si>
    <t>VT7</t>
  </si>
  <si>
    <t>VT8</t>
  </si>
  <si>
    <t>VT9</t>
  </si>
  <si>
    <t>VT10</t>
  </si>
  <si>
    <t>VT11</t>
  </si>
  <si>
    <t>VT12</t>
  </si>
  <si>
    <t>VT13</t>
  </si>
  <si>
    <t>VT14</t>
  </si>
  <si>
    <t>VT15</t>
  </si>
  <si>
    <t>VV1</t>
  </si>
  <si>
    <t>VV2</t>
  </si>
  <si>
    <t>CS1</t>
  </si>
  <si>
    <t>CS3</t>
  </si>
  <si>
    <t>Giannutri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</si>
  <si>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</si>
  <si>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</si>
  <si>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</si>
  <si>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</si>
  <si>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</si>
  <si>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</si>
  <si>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</si>
  <si>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</si>
  <si>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</si>
  <si>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</si>
  <si>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</si>
  <si>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</si>
  <si>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</si>
  <si>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</si>
  <si>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</si>
  <si>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16/24</t>
  </si>
  <si>
    <t>312x25</t>
  </si>
  <si>
    <t>349-1612715</t>
  </si>
  <si>
    <t>030-9970128</t>
  </si>
  <si>
    <t>338-3886414</t>
  </si>
  <si>
    <t>Avegni di Bobbio</t>
  </si>
  <si>
    <t>Felino di Parma</t>
  </si>
  <si>
    <t>Aviodelta</t>
  </si>
  <si>
    <t>Campo Forti e Liberi</t>
  </si>
  <si>
    <t>Reggio Emilia LIDE</t>
  </si>
  <si>
    <t>Budrione LIDU</t>
  </si>
  <si>
    <t>Pavullo Nel Frigniano</t>
  </si>
  <si>
    <t>Pavullo LIDP</t>
  </si>
  <si>
    <t>335-6001065</t>
  </si>
  <si>
    <t>059-903252</t>
  </si>
  <si>
    <t>347-2459520</t>
  </si>
  <si>
    <t>335-6688644</t>
  </si>
  <si>
    <t>338-5427757</t>
  </si>
  <si>
    <t>349-8733058</t>
  </si>
  <si>
    <t>347-7576610</t>
  </si>
  <si>
    <t>0541-688177</t>
  </si>
  <si>
    <t>348-7277405</t>
  </si>
  <si>
    <t>337-554100</t>
  </si>
  <si>
    <t>333-4482800</t>
  </si>
  <si>
    <t>335-8142422</t>
  </si>
  <si>
    <t>368-7360425</t>
  </si>
  <si>
    <t>338-7894035</t>
  </si>
  <si>
    <t>348-7969281</t>
  </si>
  <si>
    <t>348-5620854</t>
  </si>
  <si>
    <t>335-6444695</t>
  </si>
  <si>
    <t>335-8060085</t>
  </si>
  <si>
    <t>337-416422</t>
  </si>
  <si>
    <t>347-9004287</t>
  </si>
  <si>
    <t>335-6365123</t>
  </si>
  <si>
    <t>348-3818842</t>
  </si>
  <si>
    <t>338-7995353</t>
  </si>
  <si>
    <t>335-6889831</t>
  </si>
  <si>
    <t>337-385525</t>
  </si>
  <si>
    <t>118.10</t>
  </si>
  <si>
    <t>200x20</t>
  </si>
  <si>
    <t>500x15</t>
  </si>
  <si>
    <t>335-6037921</t>
  </si>
  <si>
    <t>333-2134121</t>
  </si>
  <si>
    <t>0422-959043</t>
  </si>
  <si>
    <t>338-5227343</t>
  </si>
  <si>
    <t>330-665230</t>
  </si>
  <si>
    <t>335-5383560</t>
  </si>
  <si>
    <t>349-4495399</t>
  </si>
  <si>
    <t>348-7823084</t>
  </si>
  <si>
    <t>0429-73787</t>
  </si>
  <si>
    <t>049-9001755</t>
  </si>
  <si>
    <t>0429-804212</t>
  </si>
  <si>
    <t>Pantano</t>
  </si>
  <si>
    <t>La Poiana</t>
  </si>
  <si>
    <t>Deltaland</t>
  </si>
  <si>
    <t>Torraccia</t>
  </si>
  <si>
    <t>Alberone</t>
  </si>
  <si>
    <t>Achille</t>
  </si>
  <si>
    <t>Ali del Po</t>
  </si>
  <si>
    <t>Settecrociari</t>
  </si>
  <si>
    <t>Piancada</t>
  </si>
  <si>
    <t>San Mauro</t>
  </si>
  <si>
    <t>Always</t>
  </si>
  <si>
    <t>Pegaso Flying Club</t>
  </si>
  <si>
    <t>Delta Club Città dei Papi</t>
  </si>
  <si>
    <t>Il Tucano</t>
  </si>
  <si>
    <t>Castel Caladan</t>
  </si>
  <si>
    <t>Piloti Solitari</t>
  </si>
  <si>
    <t>Corry's</t>
  </si>
  <si>
    <t>Mezzane</t>
  </si>
  <si>
    <t>Mantova San Silvestro</t>
  </si>
  <si>
    <t>Speziana</t>
  </si>
  <si>
    <t>F.Natale-F.Battistoni</t>
  </si>
  <si>
    <t>L'Airone</t>
  </si>
  <si>
    <t>Caiolo</t>
  </si>
  <si>
    <t>Valcesano</t>
  </si>
  <si>
    <t>Prati Nuovi</t>
  </si>
  <si>
    <t>Val Triversa</t>
  </si>
  <si>
    <t>Memphis Belle</t>
  </si>
  <si>
    <t>Angela e Sara - Sulpiano</t>
  </si>
  <si>
    <t>Masseria Monaci</t>
  </si>
  <si>
    <t>Gemini</t>
  </si>
  <si>
    <t>Falki Blu</t>
  </si>
  <si>
    <t>Amici dell'Aria</t>
  </si>
  <si>
    <t>Oasi del Volo</t>
  </si>
  <si>
    <t>Torre Foghe</t>
  </si>
  <si>
    <t>Etna Volo</t>
  </si>
  <si>
    <t>Maletto Fly</t>
  </si>
  <si>
    <t>Minotaurus e Medusa</t>
  </si>
  <si>
    <t>Camemi</t>
  </si>
  <si>
    <t>Oasi dei Re</t>
  </si>
  <si>
    <t>Deltaclub Valbelice</t>
  </si>
  <si>
    <t>Sport Aeronautici Livorno</t>
  </si>
  <si>
    <t>Condor Podere Rosselmo</t>
  </si>
  <si>
    <t>Tenuta di Pratello</t>
  </si>
  <si>
    <t>Il Pianetto</t>
  </si>
  <si>
    <t>S.Giorgio di Cascia</t>
  </si>
  <si>
    <t>Sant'Illuminato (Greenfield)</t>
  </si>
  <si>
    <t>Pianon</t>
  </si>
  <si>
    <t>S. Felice</t>
  </si>
  <si>
    <t>Colli Euganei</t>
  </si>
  <si>
    <t>Ali Venete</t>
  </si>
  <si>
    <t>La Fattoria</t>
  </si>
  <si>
    <t>Salemi</t>
  </si>
  <si>
    <t>A.N.P.S. Bovarella</t>
  </si>
  <si>
    <t>333-7359888</t>
  </si>
  <si>
    <t>Padova Sud</t>
  </si>
  <si>
    <t>S. Giuseppe</t>
  </si>
  <si>
    <t>Asolo Flight</t>
  </si>
  <si>
    <t>G.Carrer</t>
  </si>
  <si>
    <t>Ali Montello</t>
  </si>
  <si>
    <t>Pachino Fly Dream</t>
  </si>
  <si>
    <t>Aeroclub Montagnana</t>
  </si>
  <si>
    <t>Squadra Avvoltoi</t>
  </si>
  <si>
    <t>Legnago LIDL</t>
  </si>
  <si>
    <t>Bologna</t>
  </si>
  <si>
    <t>Borgo Panigale LIPE</t>
  </si>
  <si>
    <t>051-6479681</t>
  </si>
  <si>
    <t>Ferrara</t>
  </si>
  <si>
    <t>Ferrara LIPF</t>
  </si>
  <si>
    <t>0532-91655</t>
  </si>
  <si>
    <t>700x50</t>
  </si>
  <si>
    <t>0532-718550</t>
  </si>
  <si>
    <t>Forlì</t>
  </si>
  <si>
    <t>Forlì LIPK</t>
  </si>
  <si>
    <t>0543-474990</t>
  </si>
  <si>
    <t>Modena</t>
  </si>
  <si>
    <t>Marzaglia LIPM</t>
  </si>
  <si>
    <t>800x20</t>
  </si>
  <si>
    <t>059-389090</t>
  </si>
  <si>
    <t>Parma</t>
  </si>
  <si>
    <t>Parma LIMP</t>
  </si>
  <si>
    <t>0521-951511</t>
  </si>
  <si>
    <t>Ravenna</t>
  </si>
  <si>
    <t>Ravenna LIDR</t>
  </si>
  <si>
    <t>0544-497874</t>
  </si>
  <si>
    <t>Lugo Di Romagna</t>
  </si>
  <si>
    <t>Lugo Di Romagna LIDG</t>
  </si>
  <si>
    <t>800x23</t>
  </si>
  <si>
    <t>0545-76577</t>
  </si>
  <si>
    <t>Rimini</t>
  </si>
  <si>
    <t>Rimini LIPR</t>
  </si>
  <si>
    <t>0541-715711</t>
  </si>
  <si>
    <t>Club Volo Piacenza</t>
  </si>
  <si>
    <t>960x20</t>
  </si>
  <si>
    <t>335-5919327</t>
  </si>
  <si>
    <t>Agriturismo I Tre Colli</t>
  </si>
  <si>
    <t>335-6858590</t>
  </si>
  <si>
    <t>Vigatto</t>
  </si>
  <si>
    <t>AeC Parma</t>
  </si>
  <si>
    <t>0521-980204</t>
  </si>
  <si>
    <t>San Sisto</t>
  </si>
  <si>
    <t>Poviglio</t>
  </si>
  <si>
    <t>338-6437279</t>
  </si>
  <si>
    <t>Bazzano</t>
  </si>
  <si>
    <t>Le Ali della Libertà</t>
  </si>
  <si>
    <t>335-7041763</t>
  </si>
  <si>
    <t>348-6719811</t>
  </si>
  <si>
    <t>0544-927246</t>
  </si>
  <si>
    <t>0549-901210</t>
  </si>
  <si>
    <t>0547-693166</t>
  </si>
  <si>
    <t>0535-87342</t>
  </si>
  <si>
    <t>06-9996399</t>
  </si>
  <si>
    <t>0363-361332-3</t>
  </si>
  <si>
    <t>0381-23122</t>
  </si>
  <si>
    <t>0335-6372305</t>
  </si>
  <si>
    <t>0733-865821</t>
  </si>
  <si>
    <t>0865-925077</t>
  </si>
  <si>
    <t>348-3705711</t>
  </si>
  <si>
    <t>0336-700309</t>
  </si>
  <si>
    <t>050-820825</t>
  </si>
  <si>
    <t>0742-98246</t>
  </si>
  <si>
    <t>049-8717542</t>
  </si>
  <si>
    <t>0423-858279</t>
  </si>
  <si>
    <t>041-487422</t>
  </si>
  <si>
    <t>0421-231878</t>
  </si>
  <si>
    <t>Granarolo</t>
  </si>
  <si>
    <t>Santhià</t>
  </si>
  <si>
    <t>300X20</t>
  </si>
  <si>
    <t>335-8345393</t>
  </si>
  <si>
    <t>Delta Culture Club</t>
  </si>
  <si>
    <t>290x25</t>
  </si>
  <si>
    <t>051-760593</t>
  </si>
  <si>
    <t>Imola</t>
  </si>
  <si>
    <t>Amanti Volo Ultraleggero</t>
  </si>
  <si>
    <t>339-2296674</t>
  </si>
  <si>
    <t>Elio Zambrini</t>
  </si>
  <si>
    <t>650x20</t>
  </si>
  <si>
    <t>347-2648196</t>
  </si>
  <si>
    <t>Sesto Imolese</t>
  </si>
  <si>
    <t>Gli Aironi</t>
  </si>
  <si>
    <t>510x40</t>
  </si>
  <si>
    <t>339-8973788</t>
  </si>
  <si>
    <t>051-6841115</t>
  </si>
  <si>
    <t>Codigoro</t>
  </si>
  <si>
    <t>Club Ali del Delta</t>
  </si>
  <si>
    <t>0533-710255</t>
  </si>
  <si>
    <t>Pontelagoscuro</t>
  </si>
  <si>
    <t>Club Volo Ferrarese</t>
  </si>
  <si>
    <t>338-9345754</t>
  </si>
  <si>
    <t>Verginese</t>
  </si>
  <si>
    <t>Ass. Sportiva Verginese</t>
  </si>
  <si>
    <t>338-1060072</t>
  </si>
  <si>
    <t>Bertinoro</t>
  </si>
  <si>
    <t>Santa Maria Nuova</t>
  </si>
  <si>
    <t>Campogalliano</t>
  </si>
  <si>
    <t>Campogalliano ULM</t>
  </si>
  <si>
    <t>335-8330987</t>
  </si>
  <si>
    <t>Finale Emilia</t>
  </si>
  <si>
    <t>Agriturismo Al 50</t>
  </si>
  <si>
    <t>445x25</t>
  </si>
  <si>
    <t>0535-92779</t>
  </si>
  <si>
    <t>S. Felice sul Panaro</t>
  </si>
  <si>
    <t>333-9622222</t>
  </si>
  <si>
    <t>Ali Filanti</t>
  </si>
  <si>
    <t>347-2379196</t>
  </si>
  <si>
    <t>S. Andrea di Faenza</t>
  </si>
  <si>
    <t>Aerlight Faenza</t>
  </si>
  <si>
    <t>330x25</t>
  </si>
  <si>
    <t>333-9461599</t>
  </si>
  <si>
    <t>800x25</t>
  </si>
  <si>
    <t>337-603451</t>
  </si>
  <si>
    <t>150x20</t>
  </si>
  <si>
    <t>Casarola S. Clemente</t>
  </si>
  <si>
    <t>Mosciano Sant'Angelo</t>
  </si>
  <si>
    <t>Castiadas</t>
  </si>
  <si>
    <t>Campofelice Roccella</t>
  </si>
  <si>
    <t>Orbetello</t>
  </si>
  <si>
    <t>Castigl. della Pescaia</t>
  </si>
  <si>
    <t>Montemagg. Metauro</t>
  </si>
  <si>
    <t>Santarcangelo di Rom.</t>
  </si>
  <si>
    <t>Lido di Classe</t>
  </si>
  <si>
    <t>Casaliggio Gragnano</t>
  </si>
  <si>
    <t>Rubbiano Solignano</t>
  </si>
  <si>
    <t>Voloclub Ital. Ultraleggeri</t>
  </si>
  <si>
    <t>Stingone-Case Coloniche</t>
  </si>
  <si>
    <t>Pellegrino Volante</t>
  </si>
  <si>
    <t>Sa Doda-Gruppo Volo Xptz</t>
  </si>
  <si>
    <t>Modello</t>
  </si>
  <si>
    <t>Voloclub S.Rita</t>
  </si>
  <si>
    <t>S. Pellegrino</t>
  </si>
  <si>
    <t>S.Terenziano</t>
  </si>
  <si>
    <t>Walter Rattichieri</t>
  </si>
  <si>
    <t>570x70</t>
  </si>
  <si>
    <t>328-4005478</t>
  </si>
  <si>
    <t>328-7518131</t>
  </si>
  <si>
    <t>0746-203637</t>
  </si>
  <si>
    <t>0775-245605</t>
  </si>
  <si>
    <t>0771-57557</t>
  </si>
  <si>
    <t>0376-771310</t>
  </si>
  <si>
    <t>0382-729513</t>
  </si>
  <si>
    <t>0342-355203</t>
  </si>
  <si>
    <t>0363-326361</t>
  </si>
  <si>
    <t>030-972109</t>
  </si>
  <si>
    <t>0382-818821</t>
  </si>
  <si>
    <t>0734-967366</t>
  </si>
  <si>
    <t>011-599321</t>
  </si>
  <si>
    <t>099-5339888</t>
  </si>
  <si>
    <t>Velocità Media Pesata:</t>
  </si>
  <si>
    <t>Sosta(Min)</t>
  </si>
  <si>
    <t>347-3701567</t>
  </si>
  <si>
    <t>338-2359846</t>
  </si>
  <si>
    <t>070-571987</t>
  </si>
  <si>
    <t>348-7842156</t>
  </si>
  <si>
    <t>0933-935860</t>
  </si>
  <si>
    <t>0932-669119</t>
  </si>
  <si>
    <t>0565-701279</t>
  </si>
  <si>
    <t>330--619490</t>
  </si>
  <si>
    <t>338-2411734</t>
  </si>
  <si>
    <t>0461-602200</t>
  </si>
  <si>
    <t>075-5929049</t>
  </si>
  <si>
    <t>075-6099290</t>
  </si>
  <si>
    <t>0330-852298</t>
  </si>
  <si>
    <t>049-5841579</t>
  </si>
  <si>
    <t>049-5965464</t>
  </si>
  <si>
    <t>049-711642</t>
  </si>
  <si>
    <t>0422--880605</t>
  </si>
  <si>
    <t>333-3423164</t>
  </si>
  <si>
    <t>335-776906</t>
  </si>
  <si>
    <t>049-5591198</t>
  </si>
  <si>
    <t>337-460979</t>
  </si>
  <si>
    <t>347-5890125</t>
  </si>
  <si>
    <t>Padova</t>
  </si>
  <si>
    <t>Padova LIPO</t>
  </si>
  <si>
    <t>049-8716355</t>
  </si>
  <si>
    <t>Treviso</t>
  </si>
  <si>
    <t>S. Giuseppe LIPH</t>
  </si>
  <si>
    <t>0422-315211</t>
  </si>
  <si>
    <t>Venezia</t>
  </si>
  <si>
    <t>Venezia Lido LIPV</t>
  </si>
  <si>
    <t>041-770300</t>
  </si>
  <si>
    <t>Venezia Tessera LIPZ</t>
  </si>
  <si>
    <t>041-2606111</t>
  </si>
  <si>
    <t>Asiago</t>
  </si>
  <si>
    <t>Asiago LIDA</t>
  </si>
  <si>
    <t>0424-465845</t>
  </si>
  <si>
    <t>Vicenza</t>
  </si>
  <si>
    <t>Vicenza LIPT</t>
  </si>
  <si>
    <t>530x38</t>
  </si>
  <si>
    <t>0444-927711</t>
  </si>
  <si>
    <t>Verona</t>
  </si>
  <si>
    <t>Boscomantico LIPN</t>
  </si>
  <si>
    <t>045-563200</t>
  </si>
  <si>
    <t>Villafranca LIPX</t>
  </si>
  <si>
    <t>045-8095666</t>
  </si>
  <si>
    <t>Longarone</t>
  </si>
  <si>
    <t>Malcolm</t>
  </si>
  <si>
    <t>210x20</t>
  </si>
  <si>
    <t>338-7664375</t>
  </si>
  <si>
    <t>Este</t>
  </si>
  <si>
    <t>Club Aldo Corazza</t>
  </si>
  <si>
    <t>0429-75087</t>
  </si>
  <si>
    <t>Lissaro di Mestrino</t>
  </si>
  <si>
    <t>Area 51</t>
  </si>
  <si>
    <t>347-2527360</t>
  </si>
  <si>
    <t>da:</t>
  </si>
  <si>
    <t>a:</t>
  </si>
  <si>
    <t>Grave di Papadopoli</t>
  </si>
  <si>
    <t>Campo Jonathan</t>
  </si>
  <si>
    <t>750x25</t>
  </si>
  <si>
    <t>0438-455037</t>
  </si>
  <si>
    <t>Nervesa della Battaglia</t>
  </si>
  <si>
    <t>Francesco Baracca</t>
  </si>
  <si>
    <t>340-3998101</t>
  </si>
  <si>
    <t>Bassano del Grappa</t>
  </si>
  <si>
    <t>Alla Colombara</t>
  </si>
  <si>
    <t>570x25</t>
  </si>
  <si>
    <t>0424-525386</t>
  </si>
  <si>
    <t>335-5450447</t>
  </si>
  <si>
    <t>333-5486773</t>
  </si>
  <si>
    <t>Montegaldella</t>
  </si>
  <si>
    <t>Sorlini srl</t>
  </si>
  <si>
    <t>0444-635048</t>
  </si>
  <si>
    <t>335-6945611</t>
  </si>
  <si>
    <t>Roberto Lasserai</t>
  </si>
  <si>
    <t>130x15</t>
  </si>
  <si>
    <t>Vigo di Cadore</t>
  </si>
  <si>
    <t>Laggio di Cadore</t>
  </si>
  <si>
    <t>200x50</t>
  </si>
  <si>
    <t>0435-509678</t>
  </si>
  <si>
    <t>0429-75171</t>
  </si>
  <si>
    <t>Fratta Polesine</t>
  </si>
  <si>
    <t>Vespara Club</t>
  </si>
  <si>
    <t>0425-35796</t>
  </si>
  <si>
    <t>Cendon</t>
  </si>
  <si>
    <t>La Canonica</t>
  </si>
  <si>
    <t>0422-94544</t>
  </si>
  <si>
    <t>Farra di Soligo</t>
  </si>
  <si>
    <t>Quartier del Piave</t>
  </si>
  <si>
    <t>0438-900026</t>
  </si>
  <si>
    <t>Montebelluna</t>
  </si>
  <si>
    <t>Loc. Treviso</t>
  </si>
  <si>
    <t>420x30</t>
  </si>
  <si>
    <t>Santa Lucia di Piave</t>
  </si>
  <si>
    <t>Mandre</t>
  </si>
  <si>
    <t>0438-738241</t>
  </si>
  <si>
    <t>Vittorio Veneto</t>
  </si>
  <si>
    <t>Dream Fly - Forneniga</t>
  </si>
  <si>
    <t>0438-919078</t>
  </si>
  <si>
    <t>Pianiga</t>
  </si>
  <si>
    <t>Honey Comb</t>
  </si>
  <si>
    <t>041-469548</t>
  </si>
  <si>
    <t>Dueville</t>
  </si>
  <si>
    <t>Le Aquile - Povolaro</t>
  </si>
  <si>
    <t>0444-591372</t>
  </si>
  <si>
    <t>Grisignano di Zocco</t>
  </si>
  <si>
    <t>380x30</t>
  </si>
  <si>
    <t>0444-614749</t>
  </si>
  <si>
    <t>Caprino Veronese</t>
  </si>
  <si>
    <t>Costermano</t>
  </si>
  <si>
    <t>200x18</t>
  </si>
  <si>
    <t>045-6280024</t>
  </si>
  <si>
    <t>Gruppo Ai Boschi</t>
  </si>
  <si>
    <t>347-4637624</t>
  </si>
  <si>
    <t>Aliveneta sas</t>
  </si>
  <si>
    <t>340-2238610</t>
  </si>
  <si>
    <t>Casalino di Isola Rizza</t>
  </si>
  <si>
    <t>Volo Leggero</t>
  </si>
  <si>
    <t>045-7125077</t>
  </si>
  <si>
    <t>Genova</t>
  </si>
  <si>
    <t>Sestri LIMJ</t>
  </si>
  <si>
    <t>010-60151</t>
  </si>
  <si>
    <t>Sarzana</t>
  </si>
  <si>
    <t>Luni LIQW</t>
  </si>
  <si>
    <t>0187-673180</t>
  </si>
  <si>
    <t>Albenga</t>
  </si>
  <si>
    <t>Albenga LIMG</t>
  </si>
  <si>
    <t>0182-582924</t>
  </si>
  <si>
    <t>Borgetto di Vara</t>
  </si>
  <si>
    <t>Carburante</t>
  </si>
  <si>
    <t>Dist.</t>
  </si>
  <si>
    <t>Tot.</t>
  </si>
  <si>
    <t>TAS</t>
  </si>
  <si>
    <t>Calcolo Distanza (Km)</t>
  </si>
  <si>
    <t>Alivara ULM</t>
  </si>
  <si>
    <t>368-3308529</t>
  </si>
  <si>
    <t>Valli di Teglio</t>
  </si>
  <si>
    <t>Valgella - Tresenda</t>
  </si>
  <si>
    <t>342-782136</t>
  </si>
  <si>
    <t>Bergamo</t>
  </si>
  <si>
    <t>Orio al Serio LIME</t>
  </si>
  <si>
    <t>035-326111</t>
  </si>
  <si>
    <t>Valbrembo</t>
  </si>
  <si>
    <t>Valbrembo LILV</t>
  </si>
  <si>
    <t>035-528093</t>
  </si>
  <si>
    <t>Brescia</t>
  </si>
  <si>
    <t>Montichiari LIPO</t>
  </si>
  <si>
    <t>030-964535</t>
  </si>
  <si>
    <t>Como</t>
  </si>
  <si>
    <t>900x150</t>
  </si>
  <si>
    <t>Idroscalo LILY</t>
  </si>
  <si>
    <t>031-574495</t>
  </si>
  <si>
    <t>Alzate Brianza</t>
  </si>
  <si>
    <t>Alzate Brianza LILB</t>
  </si>
  <si>
    <t>031-619250</t>
  </si>
  <si>
    <t>Cremona</t>
  </si>
  <si>
    <t>0372-31555</t>
  </si>
  <si>
    <t>Bresso</t>
  </si>
  <si>
    <t>Bresso LIMB</t>
  </si>
  <si>
    <t>02-6101625</t>
  </si>
  <si>
    <t>Milano</t>
  </si>
  <si>
    <t>078-535502</t>
  </si>
  <si>
    <t>600x35</t>
  </si>
  <si>
    <t>SAPI la Tana del Volo</t>
  </si>
  <si>
    <t>Linate LIML</t>
  </si>
  <si>
    <t>02-74851</t>
  </si>
  <si>
    <t>Malpensa LIMC</t>
  </si>
  <si>
    <t>Mantova</t>
  </si>
  <si>
    <t>Mantova LIDM</t>
  </si>
  <si>
    <t>900x60</t>
  </si>
  <si>
    <t>0376-322720</t>
  </si>
  <si>
    <t>Voghera</t>
  </si>
  <si>
    <t>Rivanazzano LILH</t>
  </si>
  <si>
    <t>0383-944440</t>
  </si>
  <si>
    <t>Calcinate del Pesce</t>
  </si>
  <si>
    <t>Calcinate del Pesce LILC</t>
  </si>
  <si>
    <t>600x50</t>
  </si>
  <si>
    <t>0332-310073</t>
  </si>
  <si>
    <t>Varese</t>
  </si>
  <si>
    <t>Venegono LILN</t>
  </si>
  <si>
    <t>0331-813111</t>
  </si>
  <si>
    <t>Vergiate</t>
  </si>
  <si>
    <t>Vergiate LILG</t>
  </si>
  <si>
    <t>0331-946151</t>
  </si>
  <si>
    <t>Agriturismo Eroma</t>
  </si>
  <si>
    <t>030-9129930</t>
  </si>
  <si>
    <t>Passo Tonale</t>
  </si>
  <si>
    <t>APNS</t>
  </si>
  <si>
    <t>0364-903918</t>
  </si>
  <si>
    <t>Torbole Casaglia</t>
  </si>
  <si>
    <t>Aero Club Brescia</t>
  </si>
  <si>
    <t>750x30</t>
  </si>
  <si>
    <t>030-964355</t>
  </si>
  <si>
    <t>Monte Marenzo</t>
  </si>
  <si>
    <t>Volo Club Lecco</t>
  </si>
  <si>
    <t>300x11</t>
  </si>
  <si>
    <t>0341-630506</t>
  </si>
  <si>
    <t>Borghetto Lodigiano</t>
  </si>
  <si>
    <t>Vigarolo</t>
  </si>
  <si>
    <t>640x30</t>
  </si>
  <si>
    <t>338-7091184</t>
  </si>
  <si>
    <t>Vairano</t>
  </si>
  <si>
    <t>VTC Editoriale Domus</t>
  </si>
  <si>
    <t>02-82472484</t>
  </si>
  <si>
    <t>Calcinato</t>
  </si>
  <si>
    <t>Casa Bianca</t>
  </si>
  <si>
    <t>260x20</t>
  </si>
  <si>
    <t>030-9969661</t>
  </si>
  <si>
    <t>Offlaga</t>
  </si>
  <si>
    <t>Blue Devil Center</t>
  </si>
  <si>
    <t>335-5480433</t>
  </si>
  <si>
    <t>400x27</t>
  </si>
  <si>
    <t>San Paolo</t>
  </si>
  <si>
    <t>Scarpizzolo</t>
  </si>
  <si>
    <t>390x20</t>
  </si>
  <si>
    <t>335-5359664</t>
  </si>
  <si>
    <t>S. Fiorano</t>
  </si>
  <si>
    <t>S. Fiorano Wings</t>
  </si>
  <si>
    <t>0377-53131</t>
  </si>
  <si>
    <t>Bellusco</t>
  </si>
  <si>
    <t>Moiacche</t>
  </si>
  <si>
    <t>02-26146975</t>
  </si>
  <si>
    <t>Cisliano</t>
  </si>
  <si>
    <t>Volo Club Milano</t>
  </si>
  <si>
    <t>350x80</t>
  </si>
  <si>
    <t>338-9106487</t>
  </si>
  <si>
    <t>S. Pietro Cusico</t>
  </si>
  <si>
    <t>Castel Goffredo</t>
  </si>
  <si>
    <t>Perosso</t>
  </si>
  <si>
    <t>Buscoldo</t>
  </si>
  <si>
    <t>0376-48019</t>
  </si>
  <si>
    <t>Grazie</t>
  </si>
  <si>
    <t>329-8623337</t>
  </si>
  <si>
    <t>Monzambano</t>
  </si>
  <si>
    <t>Zagavia 2 - Case Vecchie</t>
  </si>
  <si>
    <t>270x50</t>
  </si>
  <si>
    <t>349-0687202</t>
  </si>
  <si>
    <t>Nosedole di Roncoferraro</t>
  </si>
  <si>
    <t>Dino</t>
  </si>
  <si>
    <t>339-2094796</t>
  </si>
  <si>
    <t>335-5781798</t>
  </si>
  <si>
    <t>Caronno Pertusella</t>
  </si>
  <si>
    <t>Paramotor Club</t>
  </si>
  <si>
    <t>200x150</t>
  </si>
  <si>
    <t>347-6883577</t>
  </si>
  <si>
    <t>Cassano Magnago</t>
  </si>
  <si>
    <t>Pratinfiore</t>
  </si>
  <si>
    <t>335-6114035</t>
  </si>
  <si>
    <t>Sulmona</t>
  </si>
  <si>
    <t>Blue Wind</t>
  </si>
  <si>
    <t>330-567949</t>
  </si>
  <si>
    <t>Prezza</t>
  </si>
  <si>
    <t>560x25</t>
  </si>
  <si>
    <t>347-1747100</t>
  </si>
  <si>
    <t>Celano</t>
  </si>
  <si>
    <t>Air Marsica</t>
  </si>
  <si>
    <t>Parchi D'Abruzzo</t>
  </si>
  <si>
    <t>146.95</t>
  </si>
  <si>
    <t>Pescara</t>
  </si>
  <si>
    <t>Pescara LIBP</t>
  </si>
  <si>
    <t>2380x45</t>
  </si>
  <si>
    <t>085-4310091</t>
  </si>
  <si>
    <t>0863-793109</t>
  </si>
  <si>
    <t>Corfinio</t>
  </si>
  <si>
    <t>Ass. Volo Prezza</t>
  </si>
  <si>
    <t>Scontrone</t>
  </si>
  <si>
    <t>333-1371517</t>
  </si>
  <si>
    <t>335-6617823</t>
  </si>
  <si>
    <t>Penne</t>
  </si>
  <si>
    <t>Colle Maggio</t>
  </si>
  <si>
    <t>085-8279986</t>
  </si>
  <si>
    <t>Civitella del Tronto</t>
  </si>
  <si>
    <t>S. Eurosia</t>
  </si>
  <si>
    <t>400x10</t>
  </si>
  <si>
    <t>347-2501934</t>
  </si>
  <si>
    <t>Pica - Grasciano</t>
  </si>
  <si>
    <t>118.45</t>
  </si>
  <si>
    <t>0-270</t>
  </si>
  <si>
    <t>Rotta                   (°)</t>
  </si>
  <si>
    <t>Distanza (Km)</t>
  </si>
  <si>
    <t>146,500</t>
  </si>
  <si>
    <t>146.40</t>
  </si>
  <si>
    <t>Matera</t>
  </si>
  <si>
    <t>La Dogana - S. Lucia</t>
  </si>
  <si>
    <t>333-2310032</t>
  </si>
  <si>
    <t>Con.Svil.Ind.Provincia MT</t>
  </si>
  <si>
    <t>0835-309211</t>
  </si>
  <si>
    <t>Lavello</t>
  </si>
  <si>
    <t xml:space="preserve">0773-850146 </t>
  </si>
  <si>
    <t>Falcone - Alilucane srl</t>
  </si>
  <si>
    <t>1450x27</t>
  </si>
  <si>
    <t>328-7241321</t>
  </si>
  <si>
    <t>Lamezia Terme</t>
  </si>
  <si>
    <t>Lamezia Terme LICA</t>
  </si>
  <si>
    <t>2400x45</t>
  </si>
  <si>
    <t>0968-417211</t>
  </si>
  <si>
    <t>Crotone</t>
  </si>
  <si>
    <t>2000x45</t>
  </si>
  <si>
    <t>0962-794388</t>
  </si>
  <si>
    <t>Reggio Calabria</t>
  </si>
  <si>
    <t>Reggio Calabria LICR</t>
  </si>
  <si>
    <t>1835x45</t>
  </si>
  <si>
    <t>0965-642722</t>
  </si>
  <si>
    <t>Bonifati</t>
  </si>
  <si>
    <t>Cittadella del Capo</t>
  </si>
  <si>
    <t>0982-971863</t>
  </si>
  <si>
    <t>Capua</t>
  </si>
  <si>
    <t>Capua LIAU</t>
  </si>
  <si>
    <t>1100x60</t>
  </si>
  <si>
    <t>0823-963430</t>
  </si>
  <si>
    <t>Napoli</t>
  </si>
  <si>
    <t>Capodichino LIRN</t>
  </si>
  <si>
    <t>2640x45</t>
  </si>
  <si>
    <t>081-7896111</t>
  </si>
  <si>
    <t>Salerno</t>
  </si>
  <si>
    <t>Pontecagnano LIRI</t>
  </si>
  <si>
    <t>1450x45</t>
  </si>
  <si>
    <t>0828-51500</t>
  </si>
  <si>
    <t>S. Agata de' Goti</t>
  </si>
  <si>
    <t>Presta</t>
  </si>
  <si>
    <t>335-410336</t>
  </si>
  <si>
    <t>Castel Volturno</t>
  </si>
  <si>
    <t>Delta Club Napoli</t>
  </si>
  <si>
    <t>348-2467330</t>
  </si>
  <si>
    <t>Padula sul Calore</t>
  </si>
  <si>
    <t>800x60</t>
  </si>
  <si>
    <t>0828-986027</t>
  </si>
  <si>
    <t>Caiazzo</t>
  </si>
  <si>
    <t>Rains Club</t>
  </si>
  <si>
    <t>335-7205134</t>
  </si>
  <si>
    <t>Capo Rizzuto LIBC</t>
  </si>
  <si>
    <t>Rocceletta di Borgia</t>
  </si>
  <si>
    <t>Aeroclub Crotone</t>
  </si>
  <si>
    <t>146.50</t>
  </si>
  <si>
    <t>0961-998649</t>
  </si>
  <si>
    <t>118.30</t>
  </si>
  <si>
    <t>347-4886294</t>
  </si>
  <si>
    <t>Club Volo Salerno</t>
  </si>
  <si>
    <t>Teggiano - Loc. Barca</t>
  </si>
  <si>
    <t>146.80</t>
  </si>
  <si>
    <t>122.50</t>
  </si>
  <si>
    <t>43.00</t>
  </si>
  <si>
    <t>119.80</t>
  </si>
  <si>
    <t>Montottone</t>
  </si>
  <si>
    <t>Aquile Nere</t>
  </si>
  <si>
    <t>270x34</t>
  </si>
  <si>
    <t>0774-771228</t>
  </si>
  <si>
    <t>S. Paolo di Jesi</t>
  </si>
  <si>
    <t>Asso Delta</t>
  </si>
  <si>
    <t>147.77</t>
  </si>
  <si>
    <t>146.10</t>
  </si>
  <si>
    <t>126.90</t>
  </si>
  <si>
    <t>147.80</t>
  </si>
  <si>
    <t>Grecciano</t>
  </si>
  <si>
    <t>Nodica</t>
  </si>
  <si>
    <t>Le Folaghe</t>
  </si>
  <si>
    <t>050/576375</t>
  </si>
  <si>
    <t>Le Prata</t>
  </si>
  <si>
    <t>050-552969</t>
  </si>
  <si>
    <t>123.70</t>
  </si>
  <si>
    <t>119.10</t>
  </si>
  <si>
    <t>128.45</t>
  </si>
  <si>
    <t>118.075</t>
  </si>
  <si>
    <t>156.725</t>
  </si>
  <si>
    <t>Aguscello LIDV</t>
  </si>
  <si>
    <t>Campo Lombardi</t>
  </si>
  <si>
    <t>290x20</t>
  </si>
  <si>
    <t>0533-97203</t>
  </si>
  <si>
    <t>146.65</t>
  </si>
  <si>
    <t>123.50</t>
  </si>
  <si>
    <t>118.95</t>
  </si>
  <si>
    <t>Loc. Piega di S. Leo</t>
  </si>
  <si>
    <t>S. Leo</t>
  </si>
  <si>
    <t>850x32</t>
  </si>
  <si>
    <t>121.90</t>
  </si>
  <si>
    <t>Latisana</t>
  </si>
  <si>
    <t>950x40</t>
  </si>
  <si>
    <t>0431-56566</t>
  </si>
  <si>
    <t>119.85</t>
  </si>
  <si>
    <t>Manzano</t>
  </si>
  <si>
    <t>I Grifoni</t>
  </si>
  <si>
    <t>0432-997499</t>
  </si>
  <si>
    <t>130.20</t>
  </si>
  <si>
    <t>119.05</t>
  </si>
  <si>
    <t>Arturo Dell'Oro LIDB</t>
  </si>
  <si>
    <t>049-5794294</t>
  </si>
  <si>
    <t>143.90</t>
  </si>
  <si>
    <t>QFU</t>
  </si>
  <si>
    <t>ELEV (mslm)</t>
  </si>
  <si>
    <t>ELEV (Feet)</t>
  </si>
  <si>
    <t>143.70</t>
  </si>
  <si>
    <t>149.00</t>
  </si>
  <si>
    <t>119.00</t>
  </si>
  <si>
    <t>119.35</t>
  </si>
  <si>
    <t>S. Giorgio</t>
  </si>
  <si>
    <t>0376-45329</t>
  </si>
  <si>
    <t>Migliaro LILR</t>
  </si>
  <si>
    <t>Lonato</t>
  </si>
  <si>
    <t>135.60</t>
  </si>
  <si>
    <t>122.00</t>
  </si>
  <si>
    <t>119.40</t>
  </si>
  <si>
    <t>128.55</t>
  </si>
  <si>
    <t>123.80</t>
  </si>
  <si>
    <t>121.70</t>
  </si>
  <si>
    <t>118.60</t>
  </si>
  <si>
    <t>121.00</t>
  </si>
  <si>
    <t>119.77</t>
  </si>
  <si>
    <t>120.10</t>
  </si>
  <si>
    <t>Luciano Baldi</t>
  </si>
  <si>
    <t>S. Apollinare</t>
  </si>
  <si>
    <t>0425-439128</t>
  </si>
  <si>
    <t>Ferrarin LIDH</t>
  </si>
  <si>
    <t>131.625</t>
  </si>
  <si>
    <t>18/26</t>
  </si>
  <si>
    <t>470x20</t>
  </si>
  <si>
    <t>0438-308827</t>
  </si>
  <si>
    <t>vhf146,420</t>
  </si>
  <si>
    <t>122.05</t>
  </si>
  <si>
    <t>Nogarole Rocca</t>
  </si>
  <si>
    <t>045-504079</t>
  </si>
  <si>
    <t>123.25</t>
  </si>
  <si>
    <t>120.20</t>
  </si>
  <si>
    <t>120.40</t>
  </si>
  <si>
    <t>Valmarana</t>
  </si>
  <si>
    <t>Rocco dell' Adige</t>
  </si>
  <si>
    <t>118.65</t>
  </si>
  <si>
    <t>119.95</t>
  </si>
  <si>
    <t>2450x45</t>
  </si>
  <si>
    <t>335-5819382</t>
  </si>
  <si>
    <t>338-2161045</t>
  </si>
  <si>
    <t>0536-806651</t>
  </si>
  <si>
    <t>335-321101</t>
  </si>
  <si>
    <t>347-4045967</t>
  </si>
  <si>
    <t>339-3524209</t>
  </si>
  <si>
    <t>079-501284</t>
  </si>
  <si>
    <t>Club Aquile Bianche</t>
  </si>
  <si>
    <t>Montiglio - Carbonieri</t>
  </si>
  <si>
    <t>119.15</t>
  </si>
  <si>
    <t>123.57</t>
  </si>
  <si>
    <t>123.05</t>
  </si>
  <si>
    <t>Cascinetta - Varallo P.</t>
  </si>
  <si>
    <t>Cascina Bellaria</t>
  </si>
  <si>
    <t>415x30</t>
  </si>
  <si>
    <t>147.10</t>
  </si>
  <si>
    <t>0331-973439</t>
  </si>
  <si>
    <t>Tetti Griffa - La Loggia</t>
  </si>
  <si>
    <t>Top Fly</t>
  </si>
  <si>
    <t>338-5853864</t>
  </si>
  <si>
    <t>Bari</t>
  </si>
  <si>
    <t>Palese LIBD</t>
  </si>
  <si>
    <t>2440x45</t>
  </si>
  <si>
    <t>080-5835001</t>
  </si>
  <si>
    <t>Brindisi</t>
  </si>
  <si>
    <t>Casale LIBR</t>
  </si>
  <si>
    <t>2628x45</t>
  </si>
  <si>
    <t>0831-411711</t>
  </si>
  <si>
    <t>Foggia</t>
  </si>
  <si>
    <t>Foggia LIBF</t>
  </si>
  <si>
    <t>1596x45</t>
  </si>
  <si>
    <t>0881-610354</t>
  </si>
  <si>
    <t>Grottaglie</t>
  </si>
  <si>
    <t>Grottaglie LIBG</t>
  </si>
  <si>
    <t>1800x45</t>
  </si>
  <si>
    <t>099-5639998</t>
  </si>
  <si>
    <t>Altamura</t>
  </si>
  <si>
    <t>Ceraso</t>
  </si>
  <si>
    <t>339-4346599</t>
  </si>
  <si>
    <t>Toritto</t>
  </si>
  <si>
    <t>La Quercia - Fasano</t>
  </si>
  <si>
    <t>475X20</t>
  </si>
  <si>
    <t>347-3887130</t>
  </si>
  <si>
    <t>Supersano</t>
  </si>
  <si>
    <t>Macrì</t>
  </si>
  <si>
    <t>339-7900560</t>
  </si>
  <si>
    <t>Ponte Albanito</t>
  </si>
  <si>
    <t>Fly and Go</t>
  </si>
  <si>
    <t>333-5318810</t>
  </si>
  <si>
    <t>Vieste</t>
  </si>
  <si>
    <t>Club Falchi Grigi</t>
  </si>
  <si>
    <t>300x40</t>
  </si>
  <si>
    <t>328-2232210</t>
  </si>
  <si>
    <t>Cagliari</t>
  </si>
  <si>
    <t>Elmas LIEE</t>
  </si>
  <si>
    <t>2800x45</t>
  </si>
  <si>
    <t>Aquino</t>
  </si>
  <si>
    <t>Aquino LIAQ</t>
  </si>
  <si>
    <t>950x50</t>
  </si>
  <si>
    <t>0776-728259</t>
  </si>
  <si>
    <t>Frosinone</t>
  </si>
  <si>
    <t>Frosinone LIRH</t>
  </si>
  <si>
    <t>1450x70</t>
  </si>
  <si>
    <t>0775-2621</t>
  </si>
  <si>
    <t>Latina</t>
  </si>
  <si>
    <t>Latina LIRL</t>
  </si>
  <si>
    <t>1845x60</t>
  </si>
  <si>
    <t>0773-630211</t>
  </si>
  <si>
    <t>Guidonia</t>
  </si>
  <si>
    <t>Guidonia LIRG</t>
  </si>
  <si>
    <t>1470x30</t>
  </si>
  <si>
    <t>0774-4001</t>
  </si>
  <si>
    <t>Ciampino LIRA</t>
  </si>
  <si>
    <t>2200x45</t>
  </si>
  <si>
    <t>06-794941</t>
  </si>
  <si>
    <t>Fiumicino LIRF</t>
  </si>
  <si>
    <t>3900x60</t>
  </si>
  <si>
    <t>06-65951</t>
  </si>
  <si>
    <t>Urbe LIRU</t>
  </si>
  <si>
    <t>06-8120524</t>
  </si>
  <si>
    <t>Viterbo</t>
  </si>
  <si>
    <t>Viterbo LIRV</t>
  </si>
  <si>
    <t>Red Baron Club</t>
  </si>
  <si>
    <t>700x45</t>
  </si>
  <si>
    <t>0773-850146</t>
  </si>
  <si>
    <t>Velletri</t>
  </si>
  <si>
    <t>Pratoni del Vivaro</t>
  </si>
  <si>
    <t>335-5280762</t>
  </si>
  <si>
    <t>Corchiano</t>
  </si>
  <si>
    <t>380x50</t>
  </si>
  <si>
    <t>333-2252685</t>
  </si>
  <si>
    <t>Gallese</t>
  </si>
  <si>
    <t>Gallese - S. Lucia</t>
  </si>
  <si>
    <t>347-3618701</t>
  </si>
  <si>
    <t>Alicocco</t>
  </si>
  <si>
    <t>347-6104461</t>
  </si>
  <si>
    <t>Salto di Fondi</t>
  </si>
  <si>
    <t>Volo Amiclae</t>
  </si>
  <si>
    <t>360x30</t>
  </si>
  <si>
    <t>Casanello di Pontinia</t>
  </si>
  <si>
    <t>Pegaso Club 2000</t>
  </si>
  <si>
    <t>339-4810701</t>
  </si>
  <si>
    <t>Santa Severa Nord</t>
  </si>
  <si>
    <t>360x50</t>
  </si>
  <si>
    <t>Soriano nel Cimino</t>
  </si>
  <si>
    <t>S. Eutizio - La Torre</t>
  </si>
  <si>
    <t>347-6567043</t>
  </si>
  <si>
    <t>Tarquinia</t>
  </si>
  <si>
    <t>Delta Top</t>
  </si>
  <si>
    <t>347-9638971</t>
  </si>
  <si>
    <t>Volo Sportivo Tarquinia</t>
  </si>
  <si>
    <t>400x60</t>
  </si>
  <si>
    <t>339-2404789</t>
  </si>
  <si>
    <t>Poggio Primavera</t>
  </si>
  <si>
    <t>339-5608867</t>
  </si>
  <si>
    <t>368-3531202</t>
  </si>
  <si>
    <t>Orvieto</t>
  </si>
  <si>
    <t>Valle dei Laghi</t>
  </si>
  <si>
    <t>800x22</t>
  </si>
  <si>
    <t>0761-948322</t>
  </si>
  <si>
    <t>121.50</t>
  </si>
  <si>
    <t>143.95</t>
  </si>
  <si>
    <t>Fabrica</t>
  </si>
  <si>
    <t>147.50</t>
  </si>
  <si>
    <t>122.20</t>
  </si>
  <si>
    <t>Civita Castellana</t>
  </si>
  <si>
    <t>120.50</t>
  </si>
  <si>
    <t>070-211211</t>
  </si>
  <si>
    <t>Tortolì Arbatax</t>
  </si>
  <si>
    <t>Tortolì Arbatax LIET</t>
  </si>
  <si>
    <t>0782-624900</t>
  </si>
  <si>
    <t>Oristano</t>
  </si>
  <si>
    <t>Fenosu LIER</t>
  </si>
  <si>
    <t>1000x23</t>
  </si>
  <si>
    <t>0783-73511</t>
  </si>
  <si>
    <t>Alghero</t>
  </si>
  <si>
    <t>Fertilia LIEA</t>
  </si>
  <si>
    <t>079-935282</t>
  </si>
  <si>
    <t>Olbia</t>
  </si>
  <si>
    <t>2445x45</t>
  </si>
  <si>
    <t>0789-563400</t>
  </si>
  <si>
    <t>335-392391</t>
  </si>
  <si>
    <t>Solarussa</t>
  </si>
  <si>
    <t>Ulcor</t>
  </si>
  <si>
    <t>329-3609237</t>
  </si>
  <si>
    <t>Maracalagonis</t>
  </si>
  <si>
    <t>Su Stàini</t>
  </si>
  <si>
    <t>400x15</t>
  </si>
  <si>
    <t>070-814529</t>
  </si>
  <si>
    <t>S. Margherita di Pula</t>
  </si>
  <si>
    <t>Romeo Fabrizio</t>
  </si>
  <si>
    <t>250x15</t>
  </si>
  <si>
    <t>347-0342280</t>
  </si>
  <si>
    <t>S. Gavino Monreale</t>
  </si>
  <si>
    <t>280x50</t>
  </si>
  <si>
    <t>Motore</t>
  </si>
  <si>
    <t>Tipo - Modello</t>
  </si>
  <si>
    <t>Rotax 912</t>
  </si>
  <si>
    <t>Data Partenza:</t>
  </si>
  <si>
    <t>070-9158065</t>
  </si>
  <si>
    <t>Foghe Avioclub</t>
  </si>
  <si>
    <t>520x30</t>
  </si>
  <si>
    <t>S. Pietro di Valledoria</t>
  </si>
  <si>
    <t>Costadoria</t>
  </si>
  <si>
    <t>079-582108</t>
  </si>
  <si>
    <t>Budduso</t>
  </si>
  <si>
    <t>Ass. Volo VDS</t>
  </si>
  <si>
    <t>118-75</t>
  </si>
  <si>
    <t>120.60</t>
  </si>
  <si>
    <t>Olbia LIEO</t>
  </si>
  <si>
    <t>125.95</t>
  </si>
  <si>
    <t>118.85</t>
  </si>
  <si>
    <t>144.305</t>
  </si>
  <si>
    <t>116.60</t>
  </si>
  <si>
    <t>142.50</t>
  </si>
  <si>
    <t>13/21</t>
  </si>
  <si>
    <t>118.70</t>
  </si>
  <si>
    <t>118.40</t>
  </si>
  <si>
    <t>147.70</t>
  </si>
  <si>
    <t>144.25</t>
  </si>
  <si>
    <t>Lampedusa</t>
  </si>
  <si>
    <t>Lampedusa LICD</t>
  </si>
  <si>
    <t>0922-970006</t>
  </si>
  <si>
    <t>Catania</t>
  </si>
  <si>
    <t>Fontanarossa LICC</t>
  </si>
  <si>
    <t>2550x45</t>
  </si>
  <si>
    <t>095-7239111</t>
  </si>
  <si>
    <t>Palermo</t>
  </si>
  <si>
    <t>Chiavari</t>
  </si>
  <si>
    <t xml:space="preserve"> </t>
  </si>
  <si>
    <t>335-5480158</t>
  </si>
  <si>
    <t>Boccadifalco LICP</t>
  </si>
  <si>
    <t>1220x45</t>
  </si>
  <si>
    <t>091-6680785</t>
  </si>
  <si>
    <t>Punta Raisi LICJ</t>
  </si>
  <si>
    <t>3420x60</t>
  </si>
  <si>
    <t>091-7020111</t>
  </si>
  <si>
    <t>Pantelleria</t>
  </si>
  <si>
    <t>Pantelleria LICG</t>
  </si>
  <si>
    <t>0923-911398</t>
  </si>
  <si>
    <t>Trapani</t>
  </si>
  <si>
    <t>Birgi LICT</t>
  </si>
  <si>
    <t>2437x45</t>
  </si>
  <si>
    <t>9823-842502</t>
  </si>
  <si>
    <t>Caltanissetta</t>
  </si>
  <si>
    <t>Le Aquile</t>
  </si>
  <si>
    <t>0934-594661</t>
  </si>
  <si>
    <t>Margherito di Ramacca</t>
  </si>
  <si>
    <t>Centro Volo Ramacca</t>
  </si>
  <si>
    <t>335-6238229</t>
  </si>
  <si>
    <t>Rocella di Caltanissetta</t>
  </si>
  <si>
    <t>Avio Club Caltanissetta</t>
  </si>
  <si>
    <t>333-5271975</t>
  </si>
  <si>
    <t>Niscemi</t>
  </si>
  <si>
    <t>C.da Fagotto</t>
  </si>
  <si>
    <t>347-5508820</t>
  </si>
  <si>
    <t>Caltagirone</t>
  </si>
  <si>
    <t>Avioclub Erèo</t>
  </si>
  <si>
    <t>368-684725</t>
  </si>
  <si>
    <t>S. Alessio Siculo</t>
  </si>
  <si>
    <t>Ala Jonica</t>
  </si>
  <si>
    <t>0942-792152</t>
  </si>
  <si>
    <t>Ali Sicilia</t>
  </si>
  <si>
    <t>095-621407</t>
  </si>
  <si>
    <t>119.25</t>
  </si>
  <si>
    <t>141.00</t>
  </si>
  <si>
    <t>Balestrate</t>
  </si>
  <si>
    <t>Delta Club Mazzara</t>
  </si>
  <si>
    <t>200x15</t>
  </si>
  <si>
    <t>337-891574</t>
  </si>
  <si>
    <t>2410x45</t>
  </si>
  <si>
    <t>1100x40</t>
  </si>
  <si>
    <t>1900x45</t>
  </si>
  <si>
    <t>1200x30</t>
  </si>
  <si>
    <t>2541x45</t>
  </si>
  <si>
    <t>3000x45</t>
  </si>
  <si>
    <t>3025x45</t>
  </si>
  <si>
    <t>1050x23</t>
  </si>
  <si>
    <t>1560x45</t>
  </si>
  <si>
    <t>3024x45</t>
  </si>
  <si>
    <t>2990x45</t>
  </si>
  <si>
    <t>1080x30</t>
  </si>
  <si>
    <t>2440x60</t>
  </si>
  <si>
    <t>3920x60</t>
  </si>
  <si>
    <t>1420x40</t>
  </si>
  <si>
    <t>2000x15</t>
  </si>
  <si>
    <t>1100x30</t>
  </si>
  <si>
    <t>1050x30</t>
  </si>
  <si>
    <t>1500x30</t>
  </si>
  <si>
    <t>2493x45</t>
  </si>
  <si>
    <t>3300x60</t>
  </si>
  <si>
    <t>1650x30</t>
  </si>
  <si>
    <t>3007x45</t>
  </si>
  <si>
    <t>1200x23</t>
  </si>
  <si>
    <t>2992x45</t>
  </si>
  <si>
    <t>1260x30</t>
  </si>
  <si>
    <t>1000x20</t>
  </si>
  <si>
    <t>1600x60</t>
  </si>
  <si>
    <t>1240x32</t>
  </si>
  <si>
    <t>1250x30</t>
  </si>
  <si>
    <t>2470x45</t>
  </si>
  <si>
    <t>1060x60</t>
  </si>
  <si>
    <t>3300x45</t>
  </si>
  <si>
    <t>1120x23</t>
  </si>
  <si>
    <t>1080x22</t>
  </si>
  <si>
    <t>2957x45</t>
  </si>
  <si>
    <t>Firenze Peretola LIRQ</t>
  </si>
  <si>
    <t>123.85</t>
  </si>
  <si>
    <t>Identificativo:</t>
  </si>
  <si>
    <t>PIANO di VOLO</t>
  </si>
  <si>
    <t>Comune</t>
  </si>
  <si>
    <t>Nome</t>
  </si>
  <si>
    <t>Alessandria</t>
  </si>
  <si>
    <t>N</t>
  </si>
  <si>
    <t>E</t>
  </si>
  <si>
    <t>Francavilla Bisio</t>
  </si>
  <si>
    <t>Novi Ligure</t>
  </si>
  <si>
    <t>Delta Club Jesi</t>
  </si>
  <si>
    <t>Senigallia</t>
  </si>
  <si>
    <t>Senigallia Nord</t>
  </si>
  <si>
    <t>Cavriglia</t>
  </si>
  <si>
    <t>Sansepolcro</t>
  </si>
  <si>
    <t>Palazzolo Avio</t>
  </si>
  <si>
    <t>Cantarana</t>
  </si>
  <si>
    <t>Piernatale Bussi</t>
  </si>
  <si>
    <t>Casamassima</t>
  </si>
  <si>
    <t>Airone</t>
  </si>
  <si>
    <t>Ruvo di Puglia</t>
  </si>
  <si>
    <t>Masseria Modesti</t>
  </si>
  <si>
    <t>Belluno</t>
  </si>
  <si>
    <t>Trichiana</t>
  </si>
  <si>
    <t>Arzago d'Adda</t>
  </si>
  <si>
    <t>Castellengo</t>
  </si>
  <si>
    <t>Fossò</t>
  </si>
  <si>
    <t>21/03</t>
  </si>
  <si>
    <t>530x20</t>
  </si>
  <si>
    <t>335-7493100</t>
  </si>
  <si>
    <t>Calcara di Crespellano</t>
  </si>
  <si>
    <t>Amici con le Ali</t>
  </si>
  <si>
    <t>340-2803750</t>
  </si>
  <si>
    <t>Aeroclub Terni</t>
  </si>
  <si>
    <t>128,45</t>
  </si>
  <si>
    <t>338-4762974</t>
  </si>
  <si>
    <t>Friuli V.G.</t>
  </si>
  <si>
    <t>Argelato</t>
  </si>
  <si>
    <t>Reno Air Club</t>
  </si>
  <si>
    <t>Medicina</t>
  </si>
  <si>
    <t>Molinella</t>
  </si>
  <si>
    <t>Ozzano Emilia</t>
  </si>
  <si>
    <t>Oria</t>
  </si>
  <si>
    <t>Ostuni</t>
  </si>
  <si>
    <t>Decimoputzu</t>
  </si>
  <si>
    <t>Gesico</t>
  </si>
  <si>
    <t>Argiolas Noas</t>
  </si>
  <si>
    <t>Serdiana</t>
  </si>
  <si>
    <t>Pegasus Club</t>
  </si>
  <si>
    <t>Settimo San Pietro</t>
  </si>
  <si>
    <t>Siliqua</t>
  </si>
  <si>
    <t>Campochiaro</t>
  </si>
  <si>
    <t>Castelvolturno</t>
  </si>
  <si>
    <t>Ranch</t>
  </si>
  <si>
    <t>Pietramelara</t>
  </si>
  <si>
    <t>No Limits Flying Center</t>
  </si>
  <si>
    <t>Vitulazio</t>
  </si>
  <si>
    <t>Calatabiano</t>
  </si>
  <si>
    <t>Maletto</t>
  </si>
  <si>
    <t>Paternò</t>
  </si>
  <si>
    <t>Rovellasca</t>
  </si>
  <si>
    <t>Fattoria Piolanti</t>
  </si>
  <si>
    <t>Scalea</t>
  </si>
  <si>
    <t>Avio LAO</t>
  </si>
  <si>
    <t>Sibari</t>
  </si>
  <si>
    <t>Dragons Fly</t>
  </si>
  <si>
    <t>S.Martino in Beliseto</t>
  </si>
  <si>
    <t>Scuola Italiana Volo</t>
  </si>
  <si>
    <t>Baldissero d'Alba</t>
  </si>
  <si>
    <t>Cavour</t>
  </si>
  <si>
    <t>Michele di Cavour</t>
  </si>
  <si>
    <t>Envie</t>
  </si>
  <si>
    <t>Pezzolo Valle Uzzone</t>
  </si>
  <si>
    <t>Ca'  Lunga</t>
  </si>
  <si>
    <t>Racconigi</t>
  </si>
  <si>
    <t>S.Albano Stura</t>
  </si>
  <si>
    <t>Beltrutto</t>
  </si>
  <si>
    <t>Cento</t>
  </si>
  <si>
    <t>Barberino nel Mugello</t>
  </si>
  <si>
    <t>Delta Club Firenze</t>
  </si>
  <si>
    <t>Borgo S.Lorenzo</t>
  </si>
  <si>
    <t>Cesena</t>
  </si>
  <si>
    <t>Ceccano</t>
  </si>
  <si>
    <t>Elevazione: (Mt - Ft)</t>
  </si>
  <si>
    <t>7° Waypoint</t>
  </si>
  <si>
    <t>Distanza: (Km - NM - SM)</t>
  </si>
  <si>
    <t xml:space="preserve">Velocità: (Km/h - Kt - MPH) </t>
  </si>
  <si>
    <t>Ft</t>
  </si>
  <si>
    <t>Km</t>
  </si>
  <si>
    <t>Punta Ala</t>
  </si>
  <si>
    <t>Massa Marittima</t>
  </si>
  <si>
    <t>Scarlino</t>
  </si>
  <si>
    <t>Pontinia</t>
  </si>
  <si>
    <t>Sabaudia</t>
  </si>
  <si>
    <t>Lecce</t>
  </si>
  <si>
    <t>Copertino</t>
  </si>
  <si>
    <t>Delta Club Ibis</t>
  </si>
  <si>
    <t>Cecina</t>
  </si>
  <si>
    <t>Piombino</t>
  </si>
  <si>
    <t>San Vincenzo</t>
  </si>
  <si>
    <t>Massarosa</t>
  </si>
  <si>
    <t>Condor</t>
  </si>
  <si>
    <t>Montecassiano</t>
  </si>
  <si>
    <t>Montefano</t>
  </si>
  <si>
    <t>Ceresara</t>
  </si>
  <si>
    <t>Curtatone</t>
  </si>
  <si>
    <t>Suzzara</t>
  </si>
  <si>
    <t>Club La Fenice</t>
  </si>
  <si>
    <t>Pisticci</t>
  </si>
  <si>
    <t>Capo d'Orlando</t>
  </si>
  <si>
    <t>Caronia</t>
  </si>
  <si>
    <t>Casorezzo</t>
  </si>
  <si>
    <t>Air Folies Casorezzo</t>
  </si>
  <si>
    <t>Cassano d'Adda</t>
  </si>
  <si>
    <t>Baialupo</t>
  </si>
  <si>
    <t>Rosate</t>
  </si>
  <si>
    <t>Rosangeles</t>
  </si>
  <si>
    <t>Camposanto</t>
  </si>
  <si>
    <t>Libellule</t>
  </si>
  <si>
    <t>Carpi</t>
  </si>
  <si>
    <t>Gaggio in Piano</t>
  </si>
  <si>
    <t>Club Deltasport</t>
  </si>
  <si>
    <t>San Possidonio</t>
  </si>
  <si>
    <t>Sassuolo</t>
  </si>
  <si>
    <t>Borgo Ticino</t>
  </si>
  <si>
    <t>Il Picchio</t>
  </si>
  <si>
    <t>Casaleggio</t>
  </si>
  <si>
    <t>Castelletto Ticino</t>
  </si>
  <si>
    <t>Dormelletto</t>
  </si>
  <si>
    <t>Club Ali Sui Laghi</t>
  </si>
  <si>
    <t>Mezzomerico</t>
  </si>
  <si>
    <t>San Teodoro</t>
  </si>
  <si>
    <t>Camposampiero</t>
  </si>
  <si>
    <t>Cervarese S.Croce</t>
  </si>
  <si>
    <t>Base Bravo</t>
  </si>
  <si>
    <t>Codevigo</t>
  </si>
  <si>
    <t>Galliera Veneta</t>
  </si>
  <si>
    <t>Monselice</t>
  </si>
  <si>
    <t>Da Domenico</t>
  </si>
  <si>
    <t>Montagnana</t>
  </si>
  <si>
    <t>Piazzola sul Brenta</t>
  </si>
  <si>
    <t>Il Ranch</t>
  </si>
  <si>
    <t>Pozzonovo</t>
  </si>
  <si>
    <t>Volo Club Albatros</t>
  </si>
  <si>
    <t>Mezzana Bigli</t>
  </si>
  <si>
    <t>Club Astra</t>
  </si>
  <si>
    <t>Valle Lomellina</t>
  </si>
  <si>
    <t>Vigevano</t>
  </si>
  <si>
    <t>Leonardo da Vinci</t>
  </si>
  <si>
    <t>Zerbolò</t>
  </si>
  <si>
    <t>Perugia</t>
  </si>
  <si>
    <t>Castiglione del Lago</t>
  </si>
  <si>
    <t>Città di Castello</t>
  </si>
  <si>
    <t>Deruta</t>
  </si>
  <si>
    <t>Gualdo Cattaneo</t>
  </si>
  <si>
    <t>Gubbio</t>
  </si>
  <si>
    <t>Aligubbio</t>
  </si>
  <si>
    <t>Todi</t>
  </si>
  <si>
    <t>Fano</t>
  </si>
  <si>
    <t>Albatros</t>
  </si>
  <si>
    <t>Loreto Aprutino</t>
  </si>
  <si>
    <t>Volandia</t>
  </si>
  <si>
    <t>Piacenza</t>
  </si>
  <si>
    <t>Ali Piacenza</t>
  </si>
  <si>
    <t>Quarrata</t>
  </si>
  <si>
    <t>Il Pinguino</t>
  </si>
  <si>
    <t>Pordenone</t>
  </si>
  <si>
    <t>Aerocampo La Comina</t>
  </si>
  <si>
    <t>Grumento Nova</t>
  </si>
  <si>
    <t>Pignola</t>
  </si>
  <si>
    <t>Ragusa</t>
  </si>
  <si>
    <t>Comiso</t>
  </si>
  <si>
    <t>Sorvoliamo Onlus</t>
  </si>
  <si>
    <t>Avio Club Ultraleggeri</t>
  </si>
  <si>
    <t>Ali di Classe</t>
  </si>
  <si>
    <t>Rieti</t>
  </si>
  <si>
    <t>Leonessa</t>
  </si>
  <si>
    <t>Airclub di Leonessa</t>
  </si>
  <si>
    <t>Roma</t>
  </si>
  <si>
    <t>Anguillara Sabazia</t>
  </si>
  <si>
    <t>Capena</t>
  </si>
  <si>
    <t>Easy Flyte - Rm</t>
  </si>
  <si>
    <t>Cerveteri</t>
  </si>
  <si>
    <t>Fiano Romano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</si>
</sst>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"/>
    <numFmt numFmtId="177" formatCode="0.0"/>
    <numFmt numFmtId="178" formatCode="00"/>
    <numFmt numFmtId="180" formatCode="000"/>
    <numFmt numFmtId="185" formatCode="0.0000"/>
  </numFmts>
  <fonts count="23" x14ac:knownFonts="1">
    <font>
      <sz val="10"/>
      <name val="Arial"/>
    </font>
    <font>
      <b/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0"/>
      <color indexed="8"/>
      <name val="MS Sans Serif"/>
    </font>
    <font>
      <b/>
      <sz val="8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b/>
      <sz val="12"/>
      <color indexed="8"/>
      <name val="Wingdings"/>
      <charset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8"/>
      <color indexed="10"/>
      <name val="Arial"/>
      <family val="2"/>
    </font>
    <font>
      <b/>
      <sz val="5"/>
      <name val="Arial"/>
      <family val="2"/>
    </font>
    <font>
      <b/>
      <sz val="8"/>
      <color indexed="10"/>
      <name val="Arial"/>
      <family val="2"/>
    </font>
    <font>
      <sz val="8"/>
      <color indexed="81"/>
      <name val="Tahoma"/>
    </font>
    <font>
      <b/>
      <sz val="14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8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/>
    <xf numFmtId="0" fontId="8" fillId="0" borderId="0" xfId="0" applyFont="1"/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178" fontId="8" fillId="0" borderId="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78" fontId="11" fillId="0" borderId="4" xfId="0" applyNumberFormat="1" applyFont="1" applyBorder="1" applyAlignment="1">
      <alignment horizontal="center" vertical="center" wrapText="1"/>
    </xf>
    <xf numFmtId="178" fontId="11" fillId="0" borderId="5" xfId="0" applyNumberFormat="1" applyFont="1" applyBorder="1" applyAlignment="1">
      <alignment horizontal="center" vertical="center" wrapText="1"/>
    </xf>
    <xf numFmtId="178" fontId="11" fillId="0" borderId="6" xfId="0" applyNumberFormat="1" applyFont="1" applyBorder="1" applyAlignment="1">
      <alignment horizontal="center" vertical="center" wrapText="1"/>
    </xf>
    <xf numFmtId="178" fontId="11" fillId="0" borderId="7" xfId="0" applyNumberFormat="1" applyFont="1" applyBorder="1" applyAlignment="1">
      <alignment horizontal="center" vertical="center" wrapText="1"/>
    </xf>
    <xf numFmtId="178" fontId="8" fillId="0" borderId="6" xfId="0" applyNumberFormat="1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178" fontId="8" fillId="0" borderId="8" xfId="0" applyNumberFormat="1" applyFont="1" applyBorder="1" applyAlignment="1">
      <alignment horizontal="center" vertical="center"/>
    </xf>
    <xf numFmtId="178" fontId="8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right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12" xfId="0" applyFont="1" applyBorder="1"/>
    <xf numFmtId="0" fontId="8" fillId="0" borderId="12" xfId="0" applyFont="1" applyBorder="1" applyAlignment="1">
      <alignment horizontal="center"/>
    </xf>
    <xf numFmtId="178" fontId="8" fillId="0" borderId="12" xfId="0" applyNumberFormat="1" applyFont="1" applyBorder="1" applyAlignment="1">
      <alignment horizontal="center"/>
    </xf>
    <xf numFmtId="178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12" xfId="1" applyNumberFormat="1" applyFont="1" applyFill="1" applyBorder="1" applyAlignment="1">
      <alignment horizontal="left"/>
    </xf>
    <xf numFmtId="178" fontId="8" fillId="0" borderId="12" xfId="1" applyNumberFormat="1" applyFont="1" applyFill="1" applyBorder="1" applyAlignment="1">
      <alignment horizontal="center"/>
    </xf>
    <xf numFmtId="0" fontId="8" fillId="0" borderId="11" xfId="1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78" fontId="8" fillId="0" borderId="0" xfId="0" applyNumberFormat="1" applyFont="1" applyAlignment="1">
      <alignment horizontal="center"/>
    </xf>
    <xf numFmtId="49" fontId="8" fillId="0" borderId="0" xfId="0" applyNumberFormat="1" applyFont="1"/>
    <xf numFmtId="0" fontId="8" fillId="0" borderId="0" xfId="1" applyNumberFormat="1" applyFont="1" applyFill="1" applyBorder="1" applyAlignment="1">
      <alignment horizontal="right"/>
    </xf>
    <xf numFmtId="0" fontId="8" fillId="0" borderId="0" xfId="1" applyNumberFormat="1" applyFont="1" applyFill="1" applyBorder="1" applyAlignment="1">
      <alignment horizontal="left"/>
    </xf>
    <xf numFmtId="178" fontId="8" fillId="0" borderId="0" xfId="1" applyNumberFormat="1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0" fontId="8" fillId="0" borderId="11" xfId="0" applyFont="1" applyBorder="1"/>
    <xf numFmtId="0" fontId="8" fillId="0" borderId="11" xfId="0" applyFont="1" applyBorder="1" applyAlignment="1">
      <alignment horizontal="center"/>
    </xf>
    <xf numFmtId="178" fontId="8" fillId="0" borderId="11" xfId="0" applyNumberFormat="1" applyFont="1" applyBorder="1" applyAlignment="1">
      <alignment horizontal="center"/>
    </xf>
    <xf numFmtId="0" fontId="8" fillId="0" borderId="0" xfId="0" applyFont="1" applyFill="1"/>
    <xf numFmtId="0" fontId="8" fillId="0" borderId="12" xfId="1" applyNumberFormat="1" applyFont="1" applyFill="1" applyBorder="1" applyAlignment="1">
      <alignment horizontal="center"/>
    </xf>
    <xf numFmtId="180" fontId="8" fillId="0" borderId="0" xfId="0" applyNumberFormat="1" applyFont="1" applyBorder="1" applyAlignment="1">
      <alignment horizontal="center"/>
    </xf>
    <xf numFmtId="180" fontId="8" fillId="0" borderId="0" xfId="0" applyNumberFormat="1" applyFont="1" applyAlignment="1">
      <alignment horizontal="center"/>
    </xf>
    <xf numFmtId="180" fontId="8" fillId="0" borderId="11" xfId="0" applyNumberFormat="1" applyFont="1" applyBorder="1" applyAlignment="1">
      <alignment horizontal="center"/>
    </xf>
    <xf numFmtId="180" fontId="8" fillId="0" borderId="12" xfId="0" applyNumberFormat="1" applyFont="1" applyBorder="1" applyAlignment="1">
      <alignment horizontal="center"/>
    </xf>
    <xf numFmtId="180" fontId="8" fillId="0" borderId="12" xfId="1" applyNumberFormat="1" applyFont="1" applyFill="1" applyBorder="1" applyAlignment="1">
      <alignment horizontal="center"/>
    </xf>
    <xf numFmtId="180" fontId="8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180" fontId="5" fillId="0" borderId="0" xfId="1" applyNumberFormat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/>
    <xf numFmtId="2" fontId="16" fillId="0" borderId="0" xfId="0" applyNumberFormat="1" applyFont="1" applyBorder="1"/>
    <xf numFmtId="2" fontId="0" fillId="0" borderId="0" xfId="0" applyNumberFormat="1" applyBorder="1" applyAlignment="1">
      <alignment horizontal="center"/>
    </xf>
    <xf numFmtId="185" fontId="0" fillId="0" borderId="0" xfId="0" applyNumberFormat="1" applyBorder="1"/>
    <xf numFmtId="185" fontId="8" fillId="0" borderId="0" xfId="0" applyNumberFormat="1" applyFont="1" applyBorder="1" applyProtection="1">
      <protection hidden="1"/>
    </xf>
    <xf numFmtId="1" fontId="8" fillId="0" borderId="0" xfId="0" applyNumberFormat="1" applyFont="1" applyBorder="1" applyProtection="1">
      <protection hidden="1"/>
    </xf>
    <xf numFmtId="0" fontId="8" fillId="0" borderId="0" xfId="0" applyFont="1" applyBorder="1" applyProtection="1">
      <protection hidden="1"/>
    </xf>
    <xf numFmtId="1" fontId="0" fillId="0" borderId="0" xfId="0" applyNumberFormat="1" applyBorder="1" applyAlignment="1">
      <alignment horizontal="center"/>
    </xf>
    <xf numFmtId="0" fontId="1" fillId="0" borderId="13" xfId="0" applyFont="1" applyBorder="1"/>
    <xf numFmtId="0" fontId="0" fillId="0" borderId="14" xfId="0" applyBorder="1" applyAlignment="1">
      <alignment horizontal="center" vertical="center" wrapText="1"/>
    </xf>
    <xf numFmtId="0" fontId="0" fillId="0" borderId="14" xfId="0" applyBorder="1"/>
    <xf numFmtId="0" fontId="16" fillId="0" borderId="14" xfId="0" applyFon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2" fontId="0" fillId="0" borderId="17" xfId="0" applyNumberFormat="1" applyBorder="1"/>
    <xf numFmtId="185" fontId="0" fillId="0" borderId="17" xfId="0" applyNumberFormat="1" applyBorder="1"/>
    <xf numFmtId="185" fontId="8" fillId="0" borderId="17" xfId="0" applyNumberFormat="1" applyFont="1" applyBorder="1" applyProtection="1">
      <protection hidden="1"/>
    </xf>
    <xf numFmtId="1" fontId="8" fillId="0" borderId="17" xfId="0" applyNumberFormat="1" applyFont="1" applyBorder="1" applyProtection="1">
      <protection hidden="1"/>
    </xf>
    <xf numFmtId="0" fontId="8" fillId="0" borderId="17" xfId="0" applyFont="1" applyBorder="1" applyProtection="1">
      <protection hidden="1"/>
    </xf>
    <xf numFmtId="1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0" fillId="0" borderId="0" xfId="0" applyProtection="1"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1" fontId="5" fillId="0" borderId="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21" fontId="5" fillId="0" borderId="0" xfId="0" applyNumberFormat="1" applyFont="1" applyBorder="1" applyAlignment="1" applyProtection="1">
      <alignment horizontal="right" vertical="center"/>
      <protection hidden="1"/>
    </xf>
    <xf numFmtId="1" fontId="5" fillId="0" borderId="0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 shrinkToFit="1"/>
      <protection hidden="1"/>
    </xf>
    <xf numFmtId="0" fontId="5" fillId="0" borderId="0" xfId="0" applyFont="1" applyBorder="1" applyAlignment="1" applyProtection="1">
      <alignment vertical="center"/>
      <protection hidden="1"/>
    </xf>
    <xf numFmtId="178" fontId="5" fillId="0" borderId="3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178" fontId="5" fillId="0" borderId="8" xfId="0" applyNumberFormat="1" applyFont="1" applyBorder="1" applyAlignment="1" applyProtection="1">
      <alignment horizontal="center" vertical="center"/>
      <protection hidden="1"/>
    </xf>
    <xf numFmtId="178" fontId="5" fillId="0" borderId="21" xfId="0" applyNumberFormat="1" applyFont="1" applyBorder="1" applyAlignment="1" applyProtection="1">
      <alignment horizontal="center" vertical="center"/>
      <protection hidden="1"/>
    </xf>
    <xf numFmtId="178" fontId="5" fillId="0" borderId="9" xfId="0" applyNumberFormat="1" applyFont="1" applyBorder="1" applyAlignment="1" applyProtection="1">
      <alignment horizontal="center" vertical="center"/>
      <protection hidden="1"/>
    </xf>
    <xf numFmtId="178" fontId="5" fillId="0" borderId="22" xfId="0" applyNumberFormat="1" applyFont="1" applyFill="1" applyBorder="1" applyAlignment="1" applyProtection="1">
      <alignment horizontal="center" vertical="center"/>
      <protection hidden="1"/>
    </xf>
    <xf numFmtId="178" fontId="5" fillId="0" borderId="23" xfId="0" applyNumberFormat="1" applyFont="1" applyFill="1" applyBorder="1" applyAlignment="1" applyProtection="1">
      <alignment horizontal="right" vertical="center"/>
      <protection hidden="1"/>
    </xf>
    <xf numFmtId="178" fontId="5" fillId="0" borderId="24" xfId="0" applyNumberFormat="1" applyFont="1" applyFill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20" fontId="1" fillId="0" borderId="0" xfId="0" applyNumberFormat="1" applyFont="1" applyBorder="1" applyAlignment="1" applyProtection="1">
      <alignment horizontal="center" vertical="center"/>
      <protection hidden="1"/>
    </xf>
    <xf numFmtId="4" fontId="5" fillId="0" borderId="0" xfId="0" applyNumberFormat="1" applyFont="1" applyBorder="1" applyAlignment="1" applyProtection="1">
      <alignment vertical="center"/>
      <protection hidden="1"/>
    </xf>
    <xf numFmtId="178" fontId="10" fillId="0" borderId="0" xfId="0" applyNumberFormat="1" applyFont="1" applyBorder="1" applyAlignment="1" applyProtection="1">
      <alignment horizontal="center" vertical="center"/>
      <protection hidden="1"/>
    </xf>
    <xf numFmtId="3" fontId="5" fillId="0" borderId="0" xfId="0" applyNumberFormat="1" applyFont="1" applyBorder="1" applyAlignment="1" applyProtection="1">
      <alignment horizontal="center" vertical="center"/>
      <protection hidden="1"/>
    </xf>
    <xf numFmtId="0" fontId="5" fillId="0" borderId="0" xfId="0" applyNumberFormat="1" applyFont="1" applyBorder="1" applyAlignment="1" applyProtection="1">
      <alignment horizontal="center" vertical="center"/>
      <protection hidden="1"/>
    </xf>
    <xf numFmtId="3" fontId="5" fillId="0" borderId="0" xfId="0" applyNumberFormat="1" applyFont="1" applyBorder="1" applyAlignment="1" applyProtection="1">
      <alignment horizontal="right" vertical="center"/>
      <protection hidden="1"/>
    </xf>
    <xf numFmtId="0" fontId="5" fillId="0" borderId="0" xfId="0" applyNumberFormat="1" applyFont="1" applyBorder="1" applyAlignment="1" applyProtection="1">
      <alignment horizontal="left" vertical="center"/>
      <protection hidden="1"/>
    </xf>
    <xf numFmtId="176" fontId="5" fillId="0" borderId="0" xfId="0" applyNumberFormat="1" applyFont="1" applyBorder="1" applyAlignment="1" applyProtection="1">
      <protection hidden="1"/>
    </xf>
    <xf numFmtId="0" fontId="5" fillId="0" borderId="0" xfId="0" applyNumberFormat="1" applyFont="1" applyBorder="1" applyAlignment="1" applyProtection="1">
      <alignment horizontal="right" vertical="center"/>
      <protection hidden="1"/>
    </xf>
    <xf numFmtId="3" fontId="5" fillId="0" borderId="0" xfId="0" applyNumberFormat="1" applyFont="1" applyAlignment="1" applyProtection="1">
      <alignment horizontal="center" vertical="center"/>
      <protection hidden="1"/>
    </xf>
    <xf numFmtId="20" fontId="5" fillId="0" borderId="0" xfId="0" applyNumberFormat="1" applyFont="1" applyBorder="1" applyAlignment="1" applyProtection="1">
      <alignment horizontal="right" vertical="center"/>
      <protection hidden="1"/>
    </xf>
    <xf numFmtId="3" fontId="5" fillId="0" borderId="0" xfId="0" applyNumberFormat="1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5" fillId="0" borderId="0" xfId="0" applyFont="1" applyBorder="1" applyAlignment="1" applyProtection="1">
      <alignment horizontal="right" vertical="center"/>
      <protection hidden="1"/>
    </xf>
    <xf numFmtId="178" fontId="5" fillId="0" borderId="0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3" fontId="19" fillId="0" borderId="0" xfId="0" applyNumberFormat="1" applyFont="1" applyProtection="1">
      <protection hidden="1"/>
    </xf>
    <xf numFmtId="3" fontId="19" fillId="0" borderId="0" xfId="0" applyNumberFormat="1" applyFont="1" applyBorder="1" applyAlignment="1" applyProtection="1">
      <alignment horizontal="center" vertical="center"/>
      <protection hidden="1"/>
    </xf>
    <xf numFmtId="176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176" fontId="19" fillId="0" borderId="0" xfId="0" applyNumberFormat="1" applyFont="1" applyBorder="1" applyAlignment="1" applyProtection="1">
      <alignment horizontal="center" vertical="center"/>
      <protection hidden="1"/>
    </xf>
    <xf numFmtId="0" fontId="9" fillId="0" borderId="0" xfId="0" applyFo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Border="1" applyAlignment="1" applyProtection="1"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8" fillId="0" borderId="12" xfId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78" fontId="8" fillId="0" borderId="0" xfId="0" applyNumberFormat="1" applyFont="1" applyFill="1" applyAlignment="1">
      <alignment horizontal="center"/>
    </xf>
    <xf numFmtId="180" fontId="8" fillId="0" borderId="0" xfId="0" applyNumberFormat="1" applyFont="1" applyFill="1" applyAlignment="1">
      <alignment horizontal="center"/>
    </xf>
    <xf numFmtId="3" fontId="8" fillId="0" borderId="0" xfId="0" applyNumberFormat="1" applyFont="1" applyFill="1" applyAlignment="1">
      <alignment horizontal="right"/>
    </xf>
    <xf numFmtId="49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right"/>
    </xf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178" fontId="8" fillId="0" borderId="25" xfId="0" applyNumberFormat="1" applyFont="1" applyBorder="1" applyAlignment="1">
      <alignment horizontal="center"/>
    </xf>
    <xf numFmtId="180" fontId="8" fillId="0" borderId="25" xfId="0" applyNumberFormat="1" applyFont="1" applyBorder="1" applyAlignment="1">
      <alignment horizontal="center"/>
    </xf>
    <xf numFmtId="0" fontId="8" fillId="0" borderId="25" xfId="0" applyFont="1" applyBorder="1" applyAlignment="1">
      <alignment horizontal="right"/>
    </xf>
    <xf numFmtId="49" fontId="8" fillId="0" borderId="25" xfId="0" applyNumberFormat="1" applyFont="1" applyBorder="1" applyAlignment="1">
      <alignment horizontal="center"/>
    </xf>
    <xf numFmtId="49" fontId="8" fillId="0" borderId="25" xfId="0" applyNumberFormat="1" applyFont="1" applyBorder="1" applyAlignment="1">
      <alignment horizontal="right"/>
    </xf>
    <xf numFmtId="3" fontId="8" fillId="0" borderId="25" xfId="0" applyNumberFormat="1" applyFont="1" applyBorder="1" applyAlignment="1">
      <alignment horizontal="right"/>
    </xf>
    <xf numFmtId="0" fontId="5" fillId="0" borderId="26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3" fillId="0" borderId="0" xfId="0" applyFont="1" applyProtection="1">
      <protection locked="0"/>
    </xf>
    <xf numFmtId="178" fontId="5" fillId="0" borderId="29" xfId="0" applyNumberFormat="1" applyFont="1" applyFill="1" applyBorder="1" applyAlignment="1" applyProtection="1">
      <alignment horizontal="right" vertical="center"/>
      <protection locked="0"/>
    </xf>
    <xf numFmtId="178" fontId="5" fillId="0" borderId="28" xfId="0" applyNumberFormat="1" applyFont="1" applyFill="1" applyBorder="1" applyAlignment="1" applyProtection="1">
      <alignment horizontal="center" vertical="center"/>
      <protection locked="0"/>
    </xf>
    <xf numFmtId="178" fontId="5" fillId="0" borderId="28" xfId="0" applyNumberFormat="1" applyFont="1" applyFill="1" applyBorder="1" applyAlignment="1" applyProtection="1">
      <alignment horizontal="right" vertical="center"/>
      <protection locked="0"/>
    </xf>
    <xf numFmtId="178" fontId="5" fillId="0" borderId="30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protection locked="0"/>
    </xf>
    <xf numFmtId="178" fontId="5" fillId="0" borderId="8" xfId="0" applyNumberFormat="1" applyFont="1" applyBorder="1" applyAlignment="1" applyProtection="1">
      <alignment horizontal="center" vertical="center"/>
      <protection locked="0"/>
    </xf>
    <xf numFmtId="178" fontId="5" fillId="0" borderId="21" xfId="0" applyNumberFormat="1" applyFont="1" applyBorder="1" applyAlignment="1" applyProtection="1">
      <alignment horizontal="center" vertical="center"/>
      <protection locked="0"/>
    </xf>
    <xf numFmtId="178" fontId="5" fillId="0" borderId="9" xfId="0" applyNumberFormat="1" applyFont="1" applyBorder="1" applyAlignment="1" applyProtection="1">
      <alignment horizontal="center" vertical="center"/>
      <protection locked="0"/>
    </xf>
    <xf numFmtId="178" fontId="5" fillId="0" borderId="22" xfId="0" applyNumberFormat="1" applyFont="1" applyFill="1" applyBorder="1" applyAlignment="1" applyProtection="1">
      <alignment horizontal="center" vertical="center"/>
      <protection locked="0"/>
    </xf>
    <xf numFmtId="178" fontId="5" fillId="0" borderId="23" xfId="0" applyNumberFormat="1" applyFont="1" applyFill="1" applyBorder="1" applyAlignment="1" applyProtection="1">
      <alignment horizontal="right" vertical="center"/>
      <protection locked="0"/>
    </xf>
    <xf numFmtId="178" fontId="5" fillId="0" borderId="24" xfId="0" applyNumberFormat="1" applyFont="1" applyFill="1" applyBorder="1" applyAlignment="1" applyProtection="1">
      <alignment horizontal="left" vertical="center"/>
      <protection locked="0"/>
    </xf>
    <xf numFmtId="178" fontId="5" fillId="0" borderId="31" xfId="0" applyNumberFormat="1" applyFont="1" applyFill="1" applyBorder="1" applyAlignment="1" applyProtection="1">
      <alignment horizontal="right" vertical="center"/>
      <protection locked="0"/>
    </xf>
    <xf numFmtId="178" fontId="5" fillId="0" borderId="14" xfId="0" applyNumberFormat="1" applyFont="1" applyFill="1" applyBorder="1" applyAlignment="1" applyProtection="1">
      <alignment horizontal="center" vertical="center"/>
      <protection locked="0"/>
    </xf>
    <xf numFmtId="178" fontId="5" fillId="0" borderId="15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Border="1" applyProtection="1">
      <protection locked="0"/>
    </xf>
    <xf numFmtId="178" fontId="5" fillId="0" borderId="32" xfId="0" applyNumberFormat="1" applyFont="1" applyBorder="1" applyAlignment="1" applyProtection="1">
      <alignment horizontal="center" vertical="center"/>
      <protection locked="0"/>
    </xf>
    <xf numFmtId="0" fontId="6" fillId="0" borderId="0" xfId="0" applyNumberFormat="1" applyFont="1" applyBorder="1" applyAlignment="1" applyProtection="1">
      <alignment horizontal="right" vertical="top" textRotation="255"/>
      <protection locked="0"/>
    </xf>
    <xf numFmtId="0" fontId="5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178" fontId="5" fillId="0" borderId="0" xfId="0" applyNumberFormat="1" applyFont="1" applyFill="1" applyBorder="1" applyAlignment="1" applyProtection="1">
      <alignment horizontal="center"/>
      <protection locked="0"/>
    </xf>
    <xf numFmtId="176" fontId="5" fillId="0" borderId="0" xfId="0" applyNumberFormat="1" applyFont="1" applyFill="1" applyBorder="1" applyAlignment="1" applyProtection="1">
      <alignment horizontal="center"/>
      <protection locked="0"/>
    </xf>
    <xf numFmtId="3" fontId="5" fillId="0" borderId="0" xfId="0" applyNumberFormat="1" applyFont="1" applyFill="1" applyBorder="1" applyAlignment="1" applyProtection="1">
      <alignment horizontal="center"/>
      <protection locked="0"/>
    </xf>
    <xf numFmtId="3" fontId="5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/>
      <protection locked="0"/>
    </xf>
    <xf numFmtId="178" fontId="5" fillId="0" borderId="0" xfId="0" applyNumberFormat="1" applyFont="1" applyFill="1" applyBorder="1" applyAlignment="1" applyProtection="1">
      <alignment horizontal="center" vertical="center"/>
      <protection locked="0"/>
    </xf>
    <xf numFmtId="178" fontId="5" fillId="0" borderId="0" xfId="0" applyNumberFormat="1" applyFont="1" applyFill="1" applyBorder="1" applyAlignment="1" applyProtection="1">
      <alignment horizontal="left" vertical="center"/>
      <protection locked="0"/>
    </xf>
    <xf numFmtId="1" fontId="5" fillId="0" borderId="0" xfId="0" applyNumberFormat="1" applyFont="1" applyFill="1" applyBorder="1" applyAlignment="1" applyProtection="1">
      <alignment horizontal="center" vertical="center"/>
      <protection locked="0"/>
    </xf>
    <xf numFmtId="178" fontId="5" fillId="2" borderId="23" xfId="0" applyNumberFormat="1" applyFont="1" applyFill="1" applyBorder="1" applyAlignment="1" applyProtection="1">
      <alignment horizontal="right" vertical="center"/>
      <protection locked="0"/>
    </xf>
    <xf numFmtId="178" fontId="5" fillId="2" borderId="24" xfId="0" applyNumberFormat="1" applyFont="1" applyFill="1" applyBorder="1" applyAlignment="1" applyProtection="1">
      <alignment horizontal="left" vertical="center"/>
      <protection locked="0"/>
    </xf>
    <xf numFmtId="178" fontId="5" fillId="2" borderId="29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  <protection hidden="1"/>
    </xf>
    <xf numFmtId="178" fontId="5" fillId="0" borderId="33" xfId="0" applyNumberFormat="1" applyFont="1" applyFill="1" applyBorder="1" applyAlignment="1" applyProtection="1">
      <alignment horizontal="right" vertical="center"/>
      <protection locked="0"/>
    </xf>
    <xf numFmtId="178" fontId="5" fillId="0" borderId="16" xfId="0" applyNumberFormat="1" applyFont="1" applyFill="1" applyBorder="1" applyAlignment="1" applyProtection="1">
      <alignment horizontal="left" vertical="center"/>
      <protection locked="0"/>
    </xf>
    <xf numFmtId="49" fontId="18" fillId="3" borderId="34" xfId="0" applyNumberFormat="1" applyFont="1" applyFill="1" applyBorder="1" applyAlignment="1" applyProtection="1">
      <alignment horizontal="center" vertical="center"/>
      <protection locked="0"/>
    </xf>
    <xf numFmtId="0" fontId="18" fillId="3" borderId="35" xfId="0" applyNumberFormat="1" applyFont="1" applyFill="1" applyBorder="1" applyAlignment="1" applyProtection="1">
      <alignment horizontal="center" vertical="center"/>
      <protection locked="0"/>
    </xf>
    <xf numFmtId="0" fontId="18" fillId="3" borderId="36" xfId="0" applyNumberFormat="1" applyFont="1" applyFill="1" applyBorder="1" applyAlignment="1" applyProtection="1">
      <alignment horizontal="center" vertical="center"/>
      <protection locked="0"/>
    </xf>
    <xf numFmtId="0" fontId="18" fillId="3" borderId="37" xfId="0" applyNumberFormat="1" applyFont="1" applyFill="1" applyBorder="1" applyAlignment="1" applyProtection="1">
      <alignment horizontal="center" vertical="center"/>
      <protection locked="0"/>
    </xf>
    <xf numFmtId="49" fontId="1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178" fontId="5" fillId="4" borderId="29" xfId="0" applyNumberFormat="1" applyFont="1" applyFill="1" applyBorder="1" applyAlignment="1" applyProtection="1">
      <alignment horizontal="right" vertical="center"/>
      <protection hidden="1"/>
    </xf>
    <xf numFmtId="178" fontId="5" fillId="4" borderId="28" xfId="0" applyNumberFormat="1" applyFont="1" applyFill="1" applyBorder="1" applyAlignment="1" applyProtection="1">
      <alignment horizontal="center" vertical="center"/>
      <protection hidden="1"/>
    </xf>
    <xf numFmtId="178" fontId="5" fillId="4" borderId="38" xfId="0" applyNumberFormat="1" applyFont="1" applyFill="1" applyBorder="1" applyAlignment="1" applyProtection="1">
      <alignment horizontal="left" vertical="center"/>
      <protection hidden="1"/>
    </xf>
    <xf numFmtId="178" fontId="5" fillId="4" borderId="28" xfId="0" applyNumberFormat="1" applyFont="1" applyFill="1" applyBorder="1" applyAlignment="1" applyProtection="1">
      <alignment horizontal="right" vertical="center"/>
      <protection hidden="1"/>
    </xf>
    <xf numFmtId="178" fontId="5" fillId="4" borderId="30" xfId="0" applyNumberFormat="1" applyFont="1" applyFill="1" applyBorder="1" applyAlignment="1" applyProtection="1">
      <alignment horizontal="left" vertical="center"/>
      <protection hidden="1"/>
    </xf>
    <xf numFmtId="178" fontId="5" fillId="4" borderId="2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18" fillId="4" borderId="35" xfId="0" applyNumberFormat="1" applyFont="1" applyFill="1" applyBorder="1" applyAlignment="1" applyProtection="1">
      <alignment horizontal="center" vertical="center"/>
      <protection locked="0"/>
    </xf>
    <xf numFmtId="3" fontId="5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12" xfId="1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25" xfId="0" applyNumberFormat="1" applyFont="1" applyFill="1" applyBorder="1" applyAlignment="1" applyProtection="1">
      <alignment horizontal="center"/>
      <protection locked="0"/>
    </xf>
    <xf numFmtId="0" fontId="1" fillId="0" borderId="25" xfId="0" applyFon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39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0" fontId="1" fillId="0" borderId="40" xfId="0" applyNumberFormat="1" applyFont="1" applyFill="1" applyBorder="1" applyAlignment="1" applyProtection="1">
      <alignment horizontal="center"/>
      <protection locked="0"/>
    </xf>
    <xf numFmtId="0" fontId="1" fillId="0" borderId="41" xfId="0" applyNumberFormat="1" applyFont="1" applyFill="1" applyBorder="1" applyAlignment="1" applyProtection="1">
      <alignment horizontal="center"/>
      <protection locked="0"/>
    </xf>
    <xf numFmtId="0" fontId="1" fillId="0" borderId="42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>
      <alignment horizontal="center"/>
    </xf>
    <xf numFmtId="178" fontId="8" fillId="0" borderId="0" xfId="0" applyNumberFormat="1" applyFont="1" applyFill="1" applyBorder="1" applyAlignment="1">
      <alignment horizontal="center"/>
    </xf>
    <xf numFmtId="180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right"/>
    </xf>
    <xf numFmtId="0" fontId="5" fillId="5" borderId="28" xfId="0" applyFont="1" applyFill="1" applyBorder="1" applyAlignment="1" applyProtection="1">
      <alignment horizontal="right" vertical="center"/>
      <protection locked="0"/>
    </xf>
    <xf numFmtId="49" fontId="5" fillId="0" borderId="0" xfId="1" applyNumberFormat="1" applyFont="1" applyFill="1" applyBorder="1" applyAlignment="1">
      <alignment horizontal="right" vertical="center" wrapText="1"/>
    </xf>
    <xf numFmtId="49" fontId="5" fillId="0" borderId="26" xfId="1" applyNumberFormat="1" applyFont="1" applyFill="1" applyBorder="1" applyAlignment="1">
      <alignment horizontal="center" vertical="center" wrapText="1"/>
    </xf>
    <xf numFmtId="0" fontId="8" fillId="0" borderId="0" xfId="0" applyFont="1" applyFill="1" applyProtection="1"/>
    <xf numFmtId="0" fontId="8" fillId="0" borderId="12" xfId="0" applyFont="1" applyFill="1" applyBorder="1" applyAlignment="1" applyProtection="1">
      <alignment horizontal="center"/>
      <protection locked="0"/>
    </xf>
    <xf numFmtId="0" fontId="8" fillId="0" borderId="12" xfId="0" applyFont="1" applyFill="1" applyBorder="1" applyProtection="1">
      <protection locked="0"/>
    </xf>
    <xf numFmtId="178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180" fontId="8" fillId="0" borderId="12" xfId="0" applyNumberFormat="1" applyFont="1" applyFill="1" applyBorder="1" applyAlignment="1" applyProtection="1">
      <alignment horizontal="center"/>
      <protection locked="0"/>
    </xf>
    <xf numFmtId="1" fontId="8" fillId="0" borderId="11" xfId="0" applyNumberFormat="1" applyFont="1" applyFill="1" applyBorder="1" applyAlignment="1" applyProtection="1">
      <alignment horizontal="right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horizontal="right"/>
      <protection locked="0"/>
    </xf>
    <xf numFmtId="2" fontId="8" fillId="0" borderId="0" xfId="0" applyNumberFormat="1" applyFont="1" applyFill="1" applyBorder="1" applyAlignment="1" applyProtection="1">
      <alignment horizontal="right"/>
      <protection locked="0"/>
    </xf>
    <xf numFmtId="49" fontId="8" fillId="0" borderId="0" xfId="0" applyNumberFormat="1" applyFont="1" applyFill="1" applyBorder="1" applyAlignment="1" applyProtection="1">
      <alignment horizontal="right"/>
      <protection locked="0"/>
    </xf>
    <xf numFmtId="3" fontId="8" fillId="0" borderId="0" xfId="0" applyNumberFormat="1" applyFont="1" applyFill="1" applyBorder="1" applyAlignment="1" applyProtection="1">
      <alignment horizontal="right"/>
      <protection locked="0"/>
    </xf>
    <xf numFmtId="0" fontId="8" fillId="0" borderId="0" xfId="0" applyFont="1" applyFill="1" applyProtection="1">
      <protection locked="0"/>
    </xf>
    <xf numFmtId="0" fontId="8" fillId="0" borderId="0" xfId="0" applyNumberFormat="1" applyFont="1" applyFill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right"/>
      <protection locked="0"/>
    </xf>
    <xf numFmtId="2" fontId="8" fillId="0" borderId="0" xfId="0" applyNumberFormat="1" applyFont="1" applyFill="1" applyAlignment="1" applyProtection="1">
      <alignment horizontal="right"/>
      <protection locked="0"/>
    </xf>
    <xf numFmtId="49" fontId="8" fillId="0" borderId="0" xfId="0" applyNumberFormat="1" applyFont="1" applyFill="1" applyAlignment="1" applyProtection="1">
      <alignment horizontal="right"/>
      <protection locked="0"/>
    </xf>
    <xf numFmtId="3" fontId="8" fillId="0" borderId="0" xfId="0" applyNumberFormat="1" applyFont="1" applyFill="1" applyAlignment="1" applyProtection="1">
      <alignment horizontal="right"/>
      <protection locked="0"/>
    </xf>
    <xf numFmtId="0" fontId="8" fillId="0" borderId="12" xfId="0" applyFont="1" applyFill="1" applyBorder="1"/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Protection="1">
      <protection locked="0"/>
    </xf>
    <xf numFmtId="178" fontId="8" fillId="0" borderId="0" xfId="0" applyNumberFormat="1" applyFont="1" applyFill="1" applyBorder="1" applyAlignment="1" applyProtection="1">
      <alignment horizontal="center"/>
      <protection locked="0"/>
    </xf>
    <xf numFmtId="49" fontId="8" fillId="0" borderId="0" xfId="0" applyNumberFormat="1" applyFont="1" applyFill="1" applyBorder="1" applyAlignment="1" applyProtection="1">
      <alignment horizontal="center"/>
      <protection locked="0"/>
    </xf>
    <xf numFmtId="180" fontId="8" fillId="0" borderId="0" xfId="0" applyNumberFormat="1" applyFont="1" applyFill="1" applyBorder="1" applyAlignment="1" applyProtection="1">
      <alignment horizontal="center"/>
      <protection locked="0"/>
    </xf>
    <xf numFmtId="1" fontId="8" fillId="0" borderId="0" xfId="0" applyNumberFormat="1" applyFont="1" applyFill="1" applyBorder="1" applyAlignment="1" applyProtection="1">
      <alignment horizontal="right"/>
      <protection locked="0"/>
    </xf>
    <xf numFmtId="0" fontId="8" fillId="0" borderId="0" xfId="0" applyFont="1" applyFill="1" applyAlignment="1" applyProtection="1">
      <alignment horizontal="center"/>
      <protection locked="0"/>
    </xf>
    <xf numFmtId="178" fontId="8" fillId="0" borderId="0" xfId="0" applyNumberFormat="1" applyFont="1" applyFill="1" applyAlignment="1" applyProtection="1">
      <alignment horizontal="center"/>
      <protection locked="0"/>
    </xf>
    <xf numFmtId="49" fontId="8" fillId="0" borderId="0" xfId="0" applyNumberFormat="1" applyFont="1" applyFill="1" applyAlignment="1" applyProtection="1">
      <alignment horizontal="center"/>
      <protection locked="0"/>
    </xf>
    <xf numFmtId="180" fontId="8" fillId="0" borderId="0" xfId="0" applyNumberFormat="1" applyFont="1" applyFill="1" applyAlignment="1" applyProtection="1">
      <alignment horizontal="center"/>
      <protection locked="0"/>
    </xf>
    <xf numFmtId="1" fontId="8" fillId="0" borderId="0" xfId="0" applyNumberFormat="1" applyFont="1" applyFill="1" applyAlignment="1" applyProtection="1">
      <alignment horizontal="right"/>
      <protection locked="0"/>
    </xf>
    <xf numFmtId="0" fontId="8" fillId="0" borderId="0" xfId="0" applyNumberFormat="1" applyFont="1" applyFill="1" applyProtection="1">
      <protection locked="0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49" fontId="8" fillId="0" borderId="0" xfId="0" applyNumberFormat="1" applyFont="1" applyBorder="1"/>
    <xf numFmtId="49" fontId="8" fillId="0" borderId="25" xfId="0" applyNumberFormat="1" applyFont="1" applyBorder="1"/>
    <xf numFmtId="0" fontId="8" fillId="0" borderId="25" xfId="0" applyFont="1" applyFill="1" applyBorder="1" applyAlignment="1" applyProtection="1">
      <alignment horizontal="center"/>
      <protection locked="0"/>
    </xf>
    <xf numFmtId="0" fontId="8" fillId="0" borderId="25" xfId="0" applyFont="1" applyFill="1" applyBorder="1" applyProtection="1">
      <protection locked="0"/>
    </xf>
    <xf numFmtId="178" fontId="8" fillId="0" borderId="25" xfId="0" applyNumberFormat="1" applyFont="1" applyFill="1" applyBorder="1" applyAlignment="1" applyProtection="1">
      <alignment horizontal="center"/>
      <protection locked="0"/>
    </xf>
    <xf numFmtId="49" fontId="8" fillId="0" borderId="25" xfId="0" applyNumberFormat="1" applyFont="1" applyFill="1" applyBorder="1" applyAlignment="1" applyProtection="1">
      <alignment horizontal="center"/>
      <protection locked="0"/>
    </xf>
    <xf numFmtId="1" fontId="8" fillId="0" borderId="25" xfId="0" applyNumberFormat="1" applyFont="1" applyFill="1" applyBorder="1" applyAlignment="1" applyProtection="1">
      <alignment horizontal="right"/>
      <protection locked="0"/>
    </xf>
    <xf numFmtId="0" fontId="8" fillId="0" borderId="25" xfId="0" applyNumberFormat="1" applyFont="1" applyFill="1" applyBorder="1" applyAlignment="1" applyProtection="1">
      <alignment horizontal="center"/>
      <protection locked="0"/>
    </xf>
    <xf numFmtId="0" fontId="8" fillId="0" borderId="25" xfId="0" applyFont="1" applyFill="1" applyBorder="1" applyAlignment="1" applyProtection="1">
      <alignment horizontal="right"/>
      <protection locked="0"/>
    </xf>
    <xf numFmtId="2" fontId="8" fillId="0" borderId="25" xfId="0" applyNumberFormat="1" applyFont="1" applyFill="1" applyBorder="1" applyAlignment="1" applyProtection="1">
      <alignment horizontal="right"/>
      <protection locked="0"/>
    </xf>
    <xf numFmtId="49" fontId="8" fillId="0" borderId="25" xfId="0" applyNumberFormat="1" applyFont="1" applyFill="1" applyBorder="1" applyAlignment="1" applyProtection="1">
      <alignment horizontal="right"/>
      <protection locked="0"/>
    </xf>
    <xf numFmtId="3" fontId="8" fillId="0" borderId="25" xfId="0" applyNumberFormat="1" applyFont="1" applyFill="1" applyBorder="1" applyAlignment="1" applyProtection="1">
      <alignment horizontal="right"/>
      <protection locked="0"/>
    </xf>
    <xf numFmtId="0" fontId="8" fillId="0" borderId="0" xfId="0" applyNumberFormat="1" applyFont="1" applyFill="1" applyAlignment="1" applyProtection="1">
      <alignment horizontal="left"/>
      <protection locked="0"/>
    </xf>
    <xf numFmtId="49" fontId="8" fillId="0" borderId="0" xfId="0" applyNumberFormat="1" applyFont="1" applyFill="1" applyBorder="1" applyAlignment="1" applyProtection="1">
      <alignment horizontal="left" shrinkToFit="1"/>
      <protection locked="0"/>
    </xf>
    <xf numFmtId="3" fontId="8" fillId="0" borderId="0" xfId="0" applyNumberFormat="1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2" fontId="8" fillId="0" borderId="25" xfId="0" applyNumberFormat="1" applyFont="1" applyFill="1" applyBorder="1" applyProtection="1"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49" fontId="1" fillId="0" borderId="25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center" wrapText="1"/>
    </xf>
    <xf numFmtId="0" fontId="8" fillId="0" borderId="39" xfId="0" applyFont="1" applyFill="1" applyBorder="1" applyAlignment="1" applyProtection="1">
      <alignment horizontal="center"/>
      <protection locked="0"/>
    </xf>
    <xf numFmtId="0" fontId="8" fillId="0" borderId="39" xfId="0" applyFont="1" applyFill="1" applyBorder="1" applyProtection="1">
      <protection locked="0"/>
    </xf>
    <xf numFmtId="178" fontId="8" fillId="0" borderId="39" xfId="0" applyNumberFormat="1" applyFont="1" applyFill="1" applyBorder="1" applyAlignment="1" applyProtection="1">
      <alignment horizontal="center"/>
      <protection locked="0"/>
    </xf>
    <xf numFmtId="49" fontId="8" fillId="0" borderId="39" xfId="0" applyNumberFormat="1" applyFont="1" applyFill="1" applyBorder="1" applyAlignment="1" applyProtection="1">
      <alignment horizontal="center"/>
      <protection locked="0"/>
    </xf>
    <xf numFmtId="1" fontId="8" fillId="0" borderId="39" xfId="0" applyNumberFormat="1" applyFont="1" applyFill="1" applyBorder="1" applyAlignment="1" applyProtection="1">
      <alignment horizontal="right"/>
      <protection locked="0"/>
    </xf>
    <xf numFmtId="0" fontId="8" fillId="0" borderId="39" xfId="0" applyNumberFormat="1" applyFont="1" applyFill="1" applyBorder="1" applyAlignment="1" applyProtection="1">
      <alignment horizontal="center"/>
      <protection locked="0"/>
    </xf>
    <xf numFmtId="0" fontId="8" fillId="0" borderId="39" xfId="0" applyFont="1" applyFill="1" applyBorder="1" applyAlignment="1" applyProtection="1">
      <alignment horizontal="right"/>
      <protection locked="0"/>
    </xf>
    <xf numFmtId="2" fontId="8" fillId="0" borderId="39" xfId="0" applyNumberFormat="1" applyFont="1" applyFill="1" applyBorder="1" applyAlignment="1" applyProtection="1">
      <alignment horizontal="right"/>
      <protection locked="0"/>
    </xf>
    <xf numFmtId="49" fontId="8" fillId="0" borderId="39" xfId="0" applyNumberFormat="1" applyFont="1" applyFill="1" applyBorder="1" applyAlignment="1" applyProtection="1">
      <alignment horizontal="right"/>
      <protection locked="0"/>
    </xf>
    <xf numFmtId="3" fontId="8" fillId="0" borderId="39" xfId="0" applyNumberFormat="1" applyFont="1" applyFill="1" applyBorder="1" applyAlignment="1" applyProtection="1">
      <alignment horizontal="right"/>
      <protection locked="0"/>
    </xf>
    <xf numFmtId="178" fontId="22" fillId="4" borderId="44" xfId="0" applyNumberFormat="1" applyFont="1" applyFill="1" applyBorder="1" applyAlignment="1" applyProtection="1">
      <alignment horizontal="right" vertical="center"/>
      <protection locked="0"/>
    </xf>
    <xf numFmtId="178" fontId="22" fillId="4" borderId="37" xfId="0" applyNumberFormat="1" applyFont="1" applyFill="1" applyBorder="1" applyAlignment="1" applyProtection="1">
      <alignment horizontal="left" vertical="center"/>
      <protection locked="0"/>
    </xf>
    <xf numFmtId="0" fontId="5" fillId="3" borderId="27" xfId="0" applyFont="1" applyFill="1" applyBorder="1" applyAlignment="1" applyProtection="1">
      <alignment horizontal="center" vertical="center"/>
      <protection locked="0"/>
    </xf>
    <xf numFmtId="0" fontId="5" fillId="3" borderId="28" xfId="0" applyFont="1" applyFill="1" applyBorder="1" applyAlignment="1" applyProtection="1">
      <alignment horizontal="center" vertical="center"/>
      <protection locked="0"/>
    </xf>
    <xf numFmtId="0" fontId="5" fillId="3" borderId="38" xfId="0" applyFont="1" applyFill="1" applyBorder="1" applyAlignment="1" applyProtection="1">
      <alignment horizontal="center" vertical="center"/>
      <protection locked="0"/>
    </xf>
    <xf numFmtId="0" fontId="5" fillId="3" borderId="27" xfId="0" applyFont="1" applyFill="1" applyBorder="1" applyAlignment="1" applyProtection="1">
      <alignment horizontal="left" vertical="center"/>
      <protection locked="0"/>
    </xf>
    <xf numFmtId="0" fontId="5" fillId="3" borderId="28" xfId="0" applyFont="1" applyFill="1" applyBorder="1" applyAlignment="1" applyProtection="1">
      <alignment horizontal="left" vertical="center"/>
      <protection locked="0"/>
    </xf>
    <xf numFmtId="0" fontId="5" fillId="3" borderId="27" xfId="0" applyFont="1" applyFill="1" applyBorder="1" applyAlignment="1" applyProtection="1">
      <alignment horizontal="left"/>
      <protection locked="0"/>
    </xf>
    <xf numFmtId="0" fontId="5" fillId="3" borderId="28" xfId="0" applyFont="1" applyFill="1" applyBorder="1" applyAlignment="1" applyProtection="1">
      <alignment horizontal="left"/>
      <protection locked="0"/>
    </xf>
    <xf numFmtId="0" fontId="5" fillId="3" borderId="38" xfId="0" applyFont="1" applyFill="1" applyBorder="1" applyAlignment="1" applyProtection="1">
      <alignment horizontal="left"/>
      <protection locked="0"/>
    </xf>
    <xf numFmtId="3" fontId="5" fillId="0" borderId="45" xfId="0" applyNumberFormat="1" applyFont="1" applyFill="1" applyBorder="1" applyAlignment="1" applyProtection="1">
      <alignment horizontal="right"/>
      <protection locked="0"/>
    </xf>
    <xf numFmtId="3" fontId="5" fillId="0" borderId="2" xfId="0" applyNumberFormat="1" applyFont="1" applyFill="1" applyBorder="1" applyAlignment="1" applyProtection="1">
      <alignment horizontal="right"/>
      <protection locked="0"/>
    </xf>
    <xf numFmtId="176" fontId="5" fillId="2" borderId="29" xfId="0" applyNumberFormat="1" applyFont="1" applyFill="1" applyBorder="1" applyAlignment="1" applyProtection="1">
      <alignment horizontal="right" vertical="center"/>
      <protection locked="0"/>
    </xf>
    <xf numFmtId="176" fontId="5" fillId="2" borderId="30" xfId="0" applyNumberFormat="1" applyFont="1" applyFill="1" applyBorder="1" applyAlignment="1" applyProtection="1">
      <alignment horizontal="right" vertical="center"/>
      <protection locked="0"/>
    </xf>
    <xf numFmtId="176" fontId="5" fillId="0" borderId="29" xfId="0" applyNumberFormat="1" applyFont="1" applyFill="1" applyBorder="1" applyAlignment="1" applyProtection="1">
      <alignment horizontal="right" vertical="center"/>
      <protection locked="0"/>
    </xf>
    <xf numFmtId="176" fontId="5" fillId="0" borderId="30" xfId="0" applyNumberFormat="1" applyFont="1" applyFill="1" applyBorder="1" applyAlignment="1" applyProtection="1">
      <alignment horizontal="right" vertical="center"/>
      <protection locked="0"/>
    </xf>
    <xf numFmtId="0" fontId="5" fillId="0" borderId="38" xfId="0" applyFont="1" applyFill="1" applyBorder="1" applyAlignment="1" applyProtection="1">
      <alignment horizontal="right" vertical="center"/>
      <protection locked="0"/>
    </xf>
    <xf numFmtId="0" fontId="5" fillId="6" borderId="29" xfId="0" applyFont="1" applyFill="1" applyBorder="1" applyAlignment="1" applyProtection="1">
      <alignment horizontal="left" vertical="center"/>
      <protection locked="0"/>
    </xf>
    <xf numFmtId="0" fontId="5" fillId="6" borderId="28" xfId="0" applyFont="1" applyFill="1" applyBorder="1" applyAlignment="1" applyProtection="1">
      <alignment horizontal="left" vertical="center"/>
      <protection locked="0"/>
    </xf>
    <xf numFmtId="0" fontId="5" fillId="6" borderId="38" xfId="0" applyFont="1" applyFill="1" applyBorder="1" applyAlignment="1" applyProtection="1">
      <alignment horizontal="left" vertical="center"/>
      <protection locked="0"/>
    </xf>
    <xf numFmtId="0" fontId="5" fillId="3" borderId="14" xfId="0" applyFont="1" applyFill="1" applyBorder="1" applyAlignment="1" applyProtection="1">
      <alignment horizontal="left" vertical="center"/>
      <protection locked="0"/>
    </xf>
    <xf numFmtId="0" fontId="5" fillId="3" borderId="52" xfId="0" applyFont="1" applyFill="1" applyBorder="1" applyAlignment="1" applyProtection="1">
      <alignment horizontal="left" vertical="center"/>
      <protection locked="0"/>
    </xf>
    <xf numFmtId="0" fontId="5" fillId="2" borderId="28" xfId="0" applyFont="1" applyFill="1" applyBorder="1" applyAlignment="1" applyProtection="1">
      <alignment horizontal="left" vertical="center"/>
      <protection locked="0"/>
    </xf>
    <xf numFmtId="0" fontId="5" fillId="2" borderId="30" xfId="0" applyFont="1" applyFill="1" applyBorder="1" applyAlignment="1" applyProtection="1">
      <alignment horizontal="left" vertical="center"/>
      <protection locked="0"/>
    </xf>
    <xf numFmtId="178" fontId="5" fillId="2" borderId="29" xfId="0" applyNumberFormat="1" applyFont="1" applyFill="1" applyBorder="1" applyAlignment="1" applyProtection="1">
      <alignment horizontal="center" vertical="center"/>
      <protection locked="0"/>
    </xf>
    <xf numFmtId="178" fontId="5" fillId="2" borderId="38" xfId="0" applyNumberFormat="1" applyFont="1" applyFill="1" applyBorder="1" applyAlignment="1" applyProtection="1">
      <alignment horizontal="center" vertical="center"/>
      <protection locked="0"/>
    </xf>
    <xf numFmtId="1" fontId="5" fillId="2" borderId="29" xfId="0" applyNumberFormat="1" applyFont="1" applyFill="1" applyBorder="1" applyAlignment="1" applyProtection="1">
      <alignment horizontal="center" vertical="center"/>
      <protection locked="0"/>
    </xf>
    <xf numFmtId="1" fontId="5" fillId="2" borderId="28" xfId="0" applyNumberFormat="1" applyFont="1" applyFill="1" applyBorder="1" applyAlignment="1" applyProtection="1">
      <alignment horizontal="center" vertical="center"/>
      <protection locked="0"/>
    </xf>
    <xf numFmtId="1" fontId="5" fillId="2" borderId="30" xfId="0" applyNumberFormat="1" applyFont="1" applyFill="1" applyBorder="1" applyAlignment="1" applyProtection="1">
      <alignment horizontal="center" vertical="center"/>
      <protection locked="0"/>
    </xf>
    <xf numFmtId="0" fontId="5" fillId="3" borderId="27" xfId="0" applyNumberFormat="1" applyFont="1" applyFill="1" applyBorder="1" applyAlignment="1" applyProtection="1">
      <alignment horizontal="center" vertical="center"/>
      <protection locked="0"/>
    </xf>
    <xf numFmtId="0" fontId="5" fillId="3" borderId="28" xfId="0" applyNumberFormat="1" applyFont="1" applyFill="1" applyBorder="1" applyAlignment="1" applyProtection="1">
      <alignment horizontal="center" vertical="center"/>
      <protection locked="0"/>
    </xf>
    <xf numFmtId="0" fontId="5" fillId="3" borderId="38" xfId="0" applyNumberFormat="1" applyFont="1" applyFill="1" applyBorder="1" applyAlignment="1" applyProtection="1">
      <alignment horizontal="center" vertical="center"/>
      <protection locked="0"/>
    </xf>
    <xf numFmtId="3" fontId="5" fillId="0" borderId="45" xfId="0" applyNumberFormat="1" applyFont="1" applyFill="1" applyBorder="1" applyAlignment="1" applyProtection="1">
      <alignment horizontal="center" vertical="center"/>
      <protection locked="0"/>
    </xf>
    <xf numFmtId="3" fontId="5" fillId="0" borderId="29" xfId="0" applyNumberFormat="1" applyFont="1" applyFill="1" applyBorder="1" applyAlignment="1" applyProtection="1">
      <alignment horizontal="center" vertical="center"/>
      <protection locked="0"/>
    </xf>
    <xf numFmtId="3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3" borderId="27" xfId="0" applyFont="1" applyFill="1" applyBorder="1" applyAlignment="1" applyProtection="1">
      <alignment horizontal="center"/>
      <protection locked="0"/>
    </xf>
    <xf numFmtId="0" fontId="5" fillId="3" borderId="28" xfId="0" applyFont="1" applyFill="1" applyBorder="1" applyAlignment="1" applyProtection="1">
      <alignment horizontal="center"/>
      <protection locked="0"/>
    </xf>
    <xf numFmtId="0" fontId="5" fillId="3" borderId="38" xfId="0" applyFont="1" applyFill="1" applyBorder="1" applyAlignment="1" applyProtection="1">
      <alignment horizontal="center"/>
      <protection locked="0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8" xfId="0" applyFont="1" applyFill="1" applyBorder="1" applyAlignment="1" applyProtection="1">
      <alignment horizontal="center" vertical="center"/>
      <protection hidden="1"/>
    </xf>
    <xf numFmtId="0" fontId="5" fillId="2" borderId="29" xfId="0" applyFont="1" applyFill="1" applyBorder="1" applyAlignment="1" applyProtection="1">
      <alignment horizontal="center" vertical="center"/>
      <protection locked="0"/>
    </xf>
    <xf numFmtId="0" fontId="5" fillId="2" borderId="28" xfId="0" applyFont="1" applyFill="1" applyBorder="1" applyAlignment="1" applyProtection="1">
      <alignment horizontal="center" vertical="center"/>
      <protection locked="0"/>
    </xf>
    <xf numFmtId="0" fontId="5" fillId="3" borderId="27" xfId="0" applyFont="1" applyFill="1" applyBorder="1" applyAlignment="1" applyProtection="1">
      <alignment horizontal="right" vertical="center"/>
      <protection locked="0"/>
    </xf>
    <xf numFmtId="0" fontId="5" fillId="3" borderId="28" xfId="0" applyFont="1" applyFill="1" applyBorder="1" applyAlignment="1" applyProtection="1">
      <alignment horizontal="right" vertical="center"/>
      <protection locked="0"/>
    </xf>
    <xf numFmtId="0" fontId="5" fillId="3" borderId="38" xfId="0" applyFont="1" applyFill="1" applyBorder="1" applyAlignment="1" applyProtection="1">
      <alignment horizontal="right" vertical="center"/>
      <protection locked="0"/>
    </xf>
    <xf numFmtId="0" fontId="5" fillId="0" borderId="28" xfId="0" applyFont="1" applyFill="1" applyBorder="1" applyAlignment="1" applyProtection="1">
      <alignment horizontal="left" vertical="center"/>
      <protection locked="0"/>
    </xf>
    <xf numFmtId="178" fontId="5" fillId="0" borderId="23" xfId="0" applyNumberFormat="1" applyFont="1" applyFill="1" applyBorder="1" applyAlignment="1" applyProtection="1">
      <alignment horizontal="center" vertical="center"/>
      <protection locked="0"/>
    </xf>
    <xf numFmtId="178" fontId="5" fillId="0" borderId="22" xfId="0" applyNumberFormat="1" applyFont="1" applyFill="1" applyBorder="1" applyAlignment="1" applyProtection="1">
      <alignment horizontal="center" vertical="center"/>
      <protection locked="0"/>
    </xf>
    <xf numFmtId="178" fontId="5" fillId="0" borderId="24" xfId="0" applyNumberFormat="1" applyFont="1" applyFill="1" applyBorder="1" applyAlignment="1" applyProtection="1">
      <alignment horizontal="center" vertical="center"/>
      <protection locked="0"/>
    </xf>
    <xf numFmtId="3" fontId="5" fillId="0" borderId="23" xfId="0" applyNumberFormat="1" applyFont="1" applyFill="1" applyBorder="1" applyAlignment="1" applyProtection="1">
      <alignment horizontal="center" vertical="center"/>
      <protection locked="0"/>
    </xf>
    <xf numFmtId="3" fontId="5" fillId="0" borderId="24" xfId="0" applyNumberFormat="1" applyFont="1" applyFill="1" applyBorder="1" applyAlignment="1" applyProtection="1">
      <alignment horizontal="center" vertical="center"/>
      <protection locked="0"/>
    </xf>
    <xf numFmtId="49" fontId="18" fillId="4" borderId="36" xfId="0" applyNumberFormat="1" applyFont="1" applyFill="1" applyBorder="1" applyAlignment="1" applyProtection="1">
      <alignment horizontal="center" vertical="center"/>
      <protection locked="0"/>
    </xf>
    <xf numFmtId="49" fontId="18" fillId="4" borderId="43" xfId="0" applyNumberFormat="1" applyFont="1" applyFill="1" applyBorder="1" applyAlignment="1" applyProtection="1">
      <alignment horizontal="center" vertical="center"/>
      <protection locked="0"/>
    </xf>
    <xf numFmtId="49" fontId="18" fillId="4" borderId="35" xfId="0" applyNumberFormat="1" applyFont="1" applyFill="1" applyBorder="1" applyAlignment="1" applyProtection="1">
      <alignment horizontal="center" vertical="center"/>
      <protection locked="0"/>
    </xf>
    <xf numFmtId="49" fontId="18" fillId="3" borderId="36" xfId="0" applyNumberFormat="1" applyFont="1" applyFill="1" applyBorder="1" applyAlignment="1" applyProtection="1">
      <alignment horizontal="center" vertical="center"/>
      <protection locked="0"/>
    </xf>
    <xf numFmtId="49" fontId="18" fillId="3" borderId="35" xfId="0" applyNumberFormat="1" applyFont="1" applyFill="1" applyBorder="1" applyAlignment="1" applyProtection="1">
      <alignment horizontal="center" vertical="center"/>
      <protection locked="0"/>
    </xf>
    <xf numFmtId="176" fontId="5" fillId="0" borderId="23" xfId="0" applyNumberFormat="1" applyFont="1" applyFill="1" applyBorder="1" applyAlignment="1" applyProtection="1">
      <alignment horizontal="center" vertical="center"/>
      <protection locked="0"/>
    </xf>
    <xf numFmtId="176" fontId="5" fillId="0" borderId="24" xfId="0" applyNumberFormat="1" applyFont="1" applyFill="1" applyBorder="1" applyAlignment="1" applyProtection="1">
      <alignment horizontal="center" vertical="center"/>
      <protection locked="0"/>
    </xf>
    <xf numFmtId="3" fontId="5" fillId="7" borderId="23" xfId="0" applyNumberFormat="1" applyFont="1" applyFill="1" applyBorder="1" applyAlignment="1" applyProtection="1">
      <alignment horizontal="center" vertical="center"/>
      <protection locked="0"/>
    </xf>
    <xf numFmtId="3" fontId="5" fillId="7" borderId="24" xfId="0" applyNumberFormat="1" applyFont="1" applyFill="1" applyBorder="1" applyAlignment="1" applyProtection="1">
      <alignment horizontal="center" vertical="center"/>
      <protection locked="0"/>
    </xf>
    <xf numFmtId="3" fontId="18" fillId="3" borderId="36" xfId="0" applyNumberFormat="1" applyFont="1" applyFill="1" applyBorder="1" applyAlignment="1" applyProtection="1">
      <alignment horizontal="center" vertical="center"/>
      <protection locked="0"/>
    </xf>
    <xf numFmtId="3" fontId="18" fillId="3" borderId="35" xfId="0" applyNumberFormat="1" applyFont="1" applyFill="1" applyBorder="1" applyAlignment="1" applyProtection="1">
      <alignment horizontal="center" vertical="center"/>
      <protection locked="0"/>
    </xf>
    <xf numFmtId="3" fontId="5" fillId="0" borderId="23" xfId="0" applyNumberFormat="1" applyFont="1" applyFill="1" applyBorder="1" applyAlignment="1" applyProtection="1">
      <alignment horizontal="center"/>
      <protection locked="0"/>
    </xf>
    <xf numFmtId="3" fontId="5" fillId="0" borderId="22" xfId="0" applyNumberFormat="1" applyFont="1" applyFill="1" applyBorder="1" applyAlignment="1" applyProtection="1">
      <alignment horizontal="center"/>
      <protection locked="0"/>
    </xf>
    <xf numFmtId="3" fontId="5" fillId="0" borderId="24" xfId="0" applyNumberFormat="1" applyFont="1" applyFill="1" applyBorder="1" applyAlignment="1" applyProtection="1">
      <alignment horizontal="center"/>
      <protection locked="0"/>
    </xf>
    <xf numFmtId="178" fontId="18" fillId="3" borderId="36" xfId="0" applyNumberFormat="1" applyFont="1" applyFill="1" applyBorder="1" applyAlignment="1" applyProtection="1">
      <alignment horizontal="center" vertical="center"/>
      <protection locked="0"/>
    </xf>
    <xf numFmtId="178" fontId="18" fillId="3" borderId="43" xfId="0" applyNumberFormat="1" applyFont="1" applyFill="1" applyBorder="1" applyAlignment="1" applyProtection="1">
      <alignment horizontal="center" vertical="center"/>
      <protection locked="0"/>
    </xf>
    <xf numFmtId="178" fontId="18" fillId="3" borderId="35" xfId="0" applyNumberFormat="1" applyFont="1" applyFill="1" applyBorder="1" applyAlignment="1" applyProtection="1">
      <alignment horizontal="center" vertical="center"/>
      <protection locked="0"/>
    </xf>
    <xf numFmtId="3" fontId="18" fillId="3" borderId="43" xfId="0" applyNumberFormat="1" applyFont="1" applyFill="1" applyBorder="1" applyAlignment="1" applyProtection="1">
      <alignment horizontal="center" vertical="center"/>
      <protection locked="0"/>
    </xf>
    <xf numFmtId="178" fontId="18" fillId="3" borderId="36" xfId="0" applyNumberFormat="1" applyFont="1" applyFill="1" applyBorder="1" applyAlignment="1" applyProtection="1">
      <alignment horizontal="left" vertical="center"/>
      <protection locked="0"/>
    </xf>
    <xf numFmtId="178" fontId="18" fillId="3" borderId="43" xfId="0" applyNumberFormat="1" applyFont="1" applyFill="1" applyBorder="1" applyAlignment="1" applyProtection="1">
      <alignment horizontal="left" vertical="center"/>
      <protection locked="0"/>
    </xf>
    <xf numFmtId="178" fontId="18" fillId="3" borderId="35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center" vertical="center"/>
      <protection hidden="1"/>
    </xf>
    <xf numFmtId="0" fontId="18" fillId="3" borderId="44" xfId="0" applyNumberFormat="1" applyFont="1" applyFill="1" applyBorder="1" applyAlignment="1" applyProtection="1">
      <alignment horizontal="center" vertical="center"/>
      <protection locked="0"/>
    </xf>
    <xf numFmtId="0" fontId="18" fillId="3" borderId="25" xfId="0" applyNumberFormat="1" applyFont="1" applyFill="1" applyBorder="1" applyAlignment="1" applyProtection="1">
      <alignment horizontal="center" vertical="center"/>
      <protection locked="0"/>
    </xf>
    <xf numFmtId="178" fontId="18" fillId="3" borderId="44" xfId="0" applyNumberFormat="1" applyFont="1" applyFill="1" applyBorder="1" applyAlignment="1" applyProtection="1">
      <alignment horizontal="center" vertical="center"/>
      <protection locked="0"/>
    </xf>
    <xf numFmtId="178" fontId="18" fillId="3" borderId="25" xfId="0" applyNumberFormat="1" applyFont="1" applyFill="1" applyBorder="1" applyAlignment="1" applyProtection="1">
      <alignment horizontal="center" vertical="center"/>
      <protection locked="0"/>
    </xf>
    <xf numFmtId="178" fontId="18" fillId="3" borderId="37" xfId="0" applyNumberFormat="1" applyFont="1" applyFill="1" applyBorder="1" applyAlignment="1" applyProtection="1">
      <alignment horizontal="center" vertical="center"/>
      <protection locked="0"/>
    </xf>
    <xf numFmtId="176" fontId="18" fillId="3" borderId="44" xfId="0" applyNumberFormat="1" applyFont="1" applyFill="1" applyBorder="1" applyAlignment="1" applyProtection="1">
      <alignment horizontal="center" vertical="center"/>
      <protection locked="0"/>
    </xf>
    <xf numFmtId="176" fontId="18" fillId="3" borderId="37" xfId="0" applyNumberFormat="1" applyFont="1" applyFill="1" applyBorder="1" applyAlignment="1" applyProtection="1">
      <alignment horizontal="center" vertical="center"/>
      <protection locked="0"/>
    </xf>
    <xf numFmtId="0" fontId="18" fillId="3" borderId="36" xfId="0" applyNumberFormat="1" applyFont="1" applyFill="1" applyBorder="1" applyAlignment="1" applyProtection="1">
      <alignment horizontal="center" vertical="center"/>
      <protection locked="0"/>
    </xf>
    <xf numFmtId="0" fontId="18" fillId="3" borderId="35" xfId="0" applyNumberFormat="1" applyFont="1" applyFill="1" applyBorder="1" applyAlignment="1" applyProtection="1">
      <alignment horizontal="center" vertical="center"/>
      <protection locked="0"/>
    </xf>
    <xf numFmtId="176" fontId="22" fillId="0" borderId="44" xfId="0" applyNumberFormat="1" applyFont="1" applyFill="1" applyBorder="1" applyAlignment="1" applyProtection="1">
      <alignment horizontal="center" vertical="center"/>
      <protection locked="0"/>
    </xf>
    <xf numFmtId="176" fontId="22" fillId="0" borderId="37" xfId="0" applyNumberFormat="1" applyFont="1" applyFill="1" applyBorder="1" applyAlignment="1" applyProtection="1">
      <alignment horizontal="center" vertical="center"/>
      <protection locked="0"/>
    </xf>
    <xf numFmtId="3" fontId="1" fillId="2" borderId="23" xfId="0" applyNumberFormat="1" applyFont="1" applyFill="1" applyBorder="1" applyAlignment="1" applyProtection="1">
      <alignment horizontal="center" vertical="center"/>
      <protection locked="0"/>
    </xf>
    <xf numFmtId="3" fontId="1" fillId="2" borderId="24" xfId="0" applyNumberFormat="1" applyFont="1" applyFill="1" applyBorder="1" applyAlignment="1" applyProtection="1">
      <alignment horizontal="center" vertical="center"/>
      <protection locked="0"/>
    </xf>
    <xf numFmtId="176" fontId="5" fillId="6" borderId="23" xfId="0" applyNumberFormat="1" applyFont="1" applyFill="1" applyBorder="1" applyAlignment="1" applyProtection="1">
      <alignment horizontal="center"/>
      <protection locked="0"/>
    </xf>
    <xf numFmtId="176" fontId="5" fillId="6" borderId="22" xfId="0" applyNumberFormat="1" applyFont="1" applyFill="1" applyBorder="1" applyAlignment="1" applyProtection="1">
      <alignment horizontal="center"/>
      <protection locked="0"/>
    </xf>
    <xf numFmtId="176" fontId="5" fillId="6" borderId="24" xfId="0" applyNumberFormat="1" applyFont="1" applyFill="1" applyBorder="1" applyAlignment="1" applyProtection="1">
      <alignment horizontal="center"/>
      <protection locked="0"/>
    </xf>
    <xf numFmtId="3" fontId="1" fillId="4" borderId="23" xfId="0" applyNumberFormat="1" applyFont="1" applyFill="1" applyBorder="1" applyAlignment="1" applyProtection="1">
      <alignment horizontal="center" vertical="center"/>
      <protection locked="0"/>
    </xf>
    <xf numFmtId="3" fontId="1" fillId="4" borderId="22" xfId="0" applyNumberFormat="1" applyFont="1" applyFill="1" applyBorder="1" applyAlignment="1" applyProtection="1">
      <alignment horizontal="center" vertical="center"/>
      <protection locked="0"/>
    </xf>
    <xf numFmtId="3" fontId="1" fillId="4" borderId="24" xfId="0" applyNumberFormat="1" applyFont="1" applyFill="1" applyBorder="1" applyAlignment="1" applyProtection="1">
      <alignment horizontal="center" vertical="center"/>
      <protection locked="0"/>
    </xf>
    <xf numFmtId="0" fontId="5" fillId="2" borderId="51" xfId="0" applyNumberFormat="1" applyFont="1" applyFill="1" applyBorder="1" applyAlignment="1" applyProtection="1">
      <alignment horizontal="center" vertical="top" textRotation="255"/>
      <protection locked="0"/>
    </xf>
    <xf numFmtId="0" fontId="5" fillId="2" borderId="47" xfId="0" applyNumberFormat="1" applyFont="1" applyFill="1" applyBorder="1" applyAlignment="1" applyProtection="1">
      <alignment horizontal="center" vertical="top" textRotation="255"/>
      <protection locked="0"/>
    </xf>
    <xf numFmtId="0" fontId="5" fillId="2" borderId="48" xfId="0" applyNumberFormat="1" applyFont="1" applyFill="1" applyBorder="1" applyAlignment="1" applyProtection="1">
      <alignment horizontal="center" vertical="top" textRotation="255"/>
      <protection locked="0"/>
    </xf>
    <xf numFmtId="0" fontId="5" fillId="4" borderId="23" xfId="0" applyNumberFormat="1" applyFont="1" applyFill="1" applyBorder="1" applyAlignment="1" applyProtection="1">
      <alignment horizontal="left" vertical="center"/>
      <protection locked="0"/>
    </xf>
    <xf numFmtId="0" fontId="5" fillId="4" borderId="22" xfId="0" applyNumberFormat="1" applyFont="1" applyFill="1" applyBorder="1" applyAlignment="1" applyProtection="1">
      <alignment horizontal="left" vertical="center"/>
      <protection locked="0"/>
    </xf>
    <xf numFmtId="0" fontId="5" fillId="4" borderId="24" xfId="0" applyNumberFormat="1" applyFont="1" applyFill="1" applyBorder="1" applyAlignment="1" applyProtection="1">
      <alignment horizontal="left" vertical="center"/>
      <protection locked="0"/>
    </xf>
    <xf numFmtId="180" fontId="21" fillId="4" borderId="49" xfId="0" applyNumberFormat="1" applyFont="1" applyFill="1" applyBorder="1" applyAlignment="1" applyProtection="1">
      <alignment horizontal="center" vertical="center"/>
      <protection locked="0"/>
    </xf>
    <xf numFmtId="180" fontId="21" fillId="4" borderId="50" xfId="0" applyNumberFormat="1" applyFont="1" applyFill="1" applyBorder="1" applyAlignment="1" applyProtection="1">
      <alignment horizontal="center" vertical="center"/>
      <protection locked="0"/>
    </xf>
    <xf numFmtId="180" fontId="21" fillId="4" borderId="19" xfId="0" applyNumberFormat="1" applyFont="1" applyFill="1" applyBorder="1" applyAlignment="1" applyProtection="1">
      <alignment horizontal="center" vertical="center"/>
      <protection locked="0"/>
    </xf>
    <xf numFmtId="180" fontId="21" fillId="4" borderId="16" xfId="0" applyNumberFormat="1" applyFont="1" applyFill="1" applyBorder="1" applyAlignment="1" applyProtection="1">
      <alignment horizontal="center" vertical="center"/>
      <protection locked="0"/>
    </xf>
    <xf numFmtId="180" fontId="21" fillId="4" borderId="20" xfId="0" applyNumberFormat="1" applyFont="1" applyFill="1" applyBorder="1" applyAlignment="1" applyProtection="1">
      <alignment horizontal="center" vertical="center"/>
      <protection locked="0"/>
    </xf>
    <xf numFmtId="180" fontId="21" fillId="4" borderId="18" xfId="0" applyNumberFormat="1" applyFont="1" applyFill="1" applyBorder="1" applyAlignment="1" applyProtection="1">
      <alignment horizontal="center" vertical="center"/>
      <protection locked="0"/>
    </xf>
    <xf numFmtId="3" fontId="1" fillId="4" borderId="44" xfId="0" applyNumberFormat="1" applyFont="1" applyFill="1" applyBorder="1" applyAlignment="1" applyProtection="1">
      <alignment horizontal="center" vertical="center"/>
      <protection locked="0"/>
    </xf>
    <xf numFmtId="3" fontId="1" fillId="4" borderId="25" xfId="0" applyNumberFormat="1" applyFont="1" applyFill="1" applyBorder="1" applyAlignment="1" applyProtection="1">
      <alignment horizontal="center" vertical="center"/>
      <protection locked="0"/>
    </xf>
    <xf numFmtId="3" fontId="1" fillId="4" borderId="37" xfId="0" applyNumberFormat="1" applyFont="1" applyFill="1" applyBorder="1" applyAlignment="1" applyProtection="1">
      <alignment horizontal="center" vertical="center"/>
      <protection locked="0"/>
    </xf>
    <xf numFmtId="3" fontId="5" fillId="0" borderId="22" xfId="0" applyNumberFormat="1" applyFont="1" applyFill="1" applyBorder="1" applyAlignment="1" applyProtection="1">
      <alignment horizontal="center" vertical="center"/>
      <protection locked="0"/>
    </xf>
    <xf numFmtId="178" fontId="5" fillId="0" borderId="23" xfId="0" applyNumberFormat="1" applyFont="1" applyBorder="1" applyAlignment="1" applyProtection="1">
      <alignment horizontal="left" vertical="center"/>
      <protection locked="0"/>
    </xf>
    <xf numFmtId="178" fontId="5" fillId="0" borderId="22" xfId="0" applyNumberFormat="1" applyFont="1" applyBorder="1" applyAlignment="1" applyProtection="1">
      <alignment horizontal="left" vertical="center"/>
      <protection locked="0"/>
    </xf>
    <xf numFmtId="178" fontId="5" fillId="0" borderId="24" xfId="0" applyNumberFormat="1" applyFont="1" applyBorder="1" applyAlignment="1" applyProtection="1">
      <alignment horizontal="left" vertical="center"/>
      <protection locked="0"/>
    </xf>
    <xf numFmtId="178" fontId="5" fillId="0" borderId="23" xfId="0" applyNumberFormat="1" applyFont="1" applyBorder="1" applyAlignment="1" applyProtection="1">
      <alignment horizontal="center" vertical="center"/>
      <protection locked="0"/>
    </xf>
    <xf numFmtId="178" fontId="5" fillId="0" borderId="24" xfId="0" applyNumberFormat="1" applyFont="1" applyBorder="1" applyAlignment="1" applyProtection="1">
      <alignment horizontal="center" vertical="center"/>
      <protection locked="0"/>
    </xf>
    <xf numFmtId="0" fontId="5" fillId="0" borderId="23" xfId="0" applyNumberFormat="1" applyFont="1" applyFill="1" applyBorder="1" applyAlignment="1" applyProtection="1">
      <alignment horizontal="center" vertical="center"/>
      <protection locked="0"/>
    </xf>
    <xf numFmtId="0" fontId="5" fillId="0" borderId="22" xfId="0" applyNumberFormat="1" applyFont="1" applyFill="1" applyBorder="1" applyAlignment="1" applyProtection="1">
      <alignment horizontal="center" vertical="center"/>
      <protection locked="0"/>
    </xf>
    <xf numFmtId="0" fontId="5" fillId="0" borderId="24" xfId="0" applyNumberFormat="1" applyFont="1" applyFill="1" applyBorder="1" applyAlignment="1" applyProtection="1">
      <alignment horizontal="center" vertical="center"/>
      <protection locked="0"/>
    </xf>
    <xf numFmtId="49" fontId="18" fillId="3" borderId="43" xfId="0" applyNumberFormat="1" applyFont="1" applyFill="1" applyBorder="1" applyAlignment="1" applyProtection="1">
      <alignment horizontal="center" vertical="center"/>
      <protection locked="0"/>
    </xf>
    <xf numFmtId="0" fontId="18" fillId="4" borderId="36" xfId="0" applyNumberFormat="1" applyFont="1" applyFill="1" applyBorder="1" applyAlignment="1" applyProtection="1">
      <alignment horizontal="center" vertical="center"/>
      <protection locked="0"/>
    </xf>
    <xf numFmtId="0" fontId="18" fillId="4" borderId="43" xfId="0" applyNumberFormat="1" applyFont="1" applyFill="1" applyBorder="1" applyAlignment="1" applyProtection="1">
      <alignment horizontal="center" vertical="center"/>
      <protection locked="0"/>
    </xf>
    <xf numFmtId="176" fontId="1" fillId="0" borderId="44" xfId="0" applyNumberFormat="1" applyFont="1" applyFill="1" applyBorder="1" applyAlignment="1" applyProtection="1">
      <alignment horizontal="center" vertical="center"/>
      <protection locked="0"/>
    </xf>
    <xf numFmtId="176" fontId="1" fillId="0" borderId="37" xfId="0" applyNumberFormat="1" applyFont="1" applyFill="1" applyBorder="1" applyAlignment="1" applyProtection="1">
      <alignment horizontal="center" vertical="center"/>
      <protection locked="0"/>
    </xf>
    <xf numFmtId="49" fontId="18" fillId="4" borderId="36" xfId="0" applyNumberFormat="1" applyFont="1" applyFill="1" applyBorder="1" applyAlignment="1" applyProtection="1">
      <alignment horizontal="left" vertical="center"/>
      <protection locked="0"/>
    </xf>
    <xf numFmtId="49" fontId="18" fillId="4" borderId="43" xfId="0" applyNumberFormat="1" applyFont="1" applyFill="1" applyBorder="1" applyAlignment="1" applyProtection="1">
      <alignment horizontal="left" vertical="center"/>
      <protection locked="0"/>
    </xf>
    <xf numFmtId="49" fontId="18" fillId="4" borderId="35" xfId="0" applyNumberFormat="1" applyFont="1" applyFill="1" applyBorder="1" applyAlignment="1" applyProtection="1">
      <alignment horizontal="left" vertical="center"/>
      <protection locked="0"/>
    </xf>
    <xf numFmtId="0" fontId="5" fillId="2" borderId="46" xfId="0" applyNumberFormat="1" applyFont="1" applyFill="1" applyBorder="1" applyAlignment="1" applyProtection="1">
      <alignment horizontal="center" vertical="top" textRotation="255"/>
      <protection locked="0"/>
    </xf>
    <xf numFmtId="0" fontId="5" fillId="3" borderId="27" xfId="0" applyFont="1" applyFill="1" applyBorder="1" applyAlignment="1" applyProtection="1">
      <alignment horizontal="center" vertical="center"/>
      <protection hidden="1"/>
    </xf>
    <xf numFmtId="0" fontId="5" fillId="3" borderId="28" xfId="0" applyFont="1" applyFill="1" applyBorder="1" applyAlignment="1" applyProtection="1">
      <alignment horizontal="center" vertical="center"/>
      <protection hidden="1"/>
    </xf>
    <xf numFmtId="0" fontId="5" fillId="3" borderId="38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1" fillId="2" borderId="28" xfId="0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 applyProtection="1">
      <alignment horizontal="center" vertical="center"/>
      <protection locked="0"/>
    </xf>
    <xf numFmtId="0" fontId="1" fillId="8" borderId="27" xfId="0" applyFont="1" applyFill="1" applyBorder="1" applyAlignment="1" applyProtection="1">
      <alignment horizontal="center" vertical="center"/>
      <protection locked="0"/>
    </xf>
    <xf numFmtId="0" fontId="1" fillId="8" borderId="28" xfId="0" applyFont="1" applyFill="1" applyBorder="1" applyAlignment="1" applyProtection="1">
      <alignment horizontal="center" vertical="center"/>
      <protection locked="0"/>
    </xf>
    <xf numFmtId="0" fontId="1" fillId="8" borderId="30" xfId="0" applyFont="1" applyFill="1" applyBorder="1" applyAlignment="1" applyProtection="1">
      <alignment horizontal="center" vertical="center"/>
      <protection locked="0"/>
    </xf>
    <xf numFmtId="177" fontId="5" fillId="0" borderId="29" xfId="0" applyNumberFormat="1" applyFont="1" applyFill="1" applyBorder="1" applyAlignment="1" applyProtection="1">
      <alignment horizontal="right" vertical="center"/>
      <protection locked="0"/>
    </xf>
    <xf numFmtId="177" fontId="5" fillId="0" borderId="30" xfId="0" applyNumberFormat="1" applyFont="1" applyFill="1" applyBorder="1" applyAlignment="1" applyProtection="1">
      <alignment horizontal="right" vertical="center"/>
      <protection locked="0"/>
    </xf>
    <xf numFmtId="3" fontId="5" fillId="0" borderId="23" xfId="0" applyNumberFormat="1" applyFont="1" applyFill="1" applyBorder="1" applyAlignment="1" applyProtection="1">
      <alignment horizontal="center" vertical="center"/>
      <protection hidden="1"/>
    </xf>
    <xf numFmtId="3" fontId="5" fillId="0" borderId="24" xfId="0" applyNumberFormat="1" applyFont="1" applyFill="1" applyBorder="1" applyAlignment="1" applyProtection="1">
      <alignment horizontal="center" vertical="center"/>
      <protection hidden="1"/>
    </xf>
    <xf numFmtId="0" fontId="5" fillId="3" borderId="36" xfId="0" applyFont="1" applyFill="1" applyBorder="1" applyAlignment="1" applyProtection="1">
      <alignment horizontal="center" vertical="center"/>
      <protection hidden="1"/>
    </xf>
    <xf numFmtId="0" fontId="5" fillId="3" borderId="43" xfId="0" applyFont="1" applyFill="1" applyBorder="1" applyAlignment="1" applyProtection="1">
      <alignment horizontal="center" vertical="center"/>
      <protection hidden="1"/>
    </xf>
    <xf numFmtId="0" fontId="5" fillId="3" borderId="35" xfId="0" applyFont="1" applyFill="1" applyBorder="1" applyAlignment="1" applyProtection="1">
      <alignment horizontal="center" vertical="center"/>
      <protection hidden="1"/>
    </xf>
    <xf numFmtId="0" fontId="5" fillId="6" borderId="27" xfId="0" applyFont="1" applyFill="1" applyBorder="1" applyAlignment="1" applyProtection="1">
      <alignment horizontal="left" vertical="center"/>
      <protection locked="0"/>
    </xf>
    <xf numFmtId="0" fontId="6" fillId="2" borderId="51" xfId="0" applyNumberFormat="1" applyFont="1" applyFill="1" applyBorder="1" applyAlignment="1" applyProtection="1">
      <alignment horizontal="center" vertical="top" textRotation="255"/>
      <protection locked="0"/>
    </xf>
    <xf numFmtId="0" fontId="6" fillId="2" borderId="48" xfId="0" applyNumberFormat="1" applyFont="1" applyFill="1" applyBorder="1" applyAlignment="1" applyProtection="1">
      <alignment horizontal="center" vertical="top" textRotation="255"/>
      <protection locked="0"/>
    </xf>
    <xf numFmtId="0" fontId="5" fillId="0" borderId="27" xfId="0" applyNumberFormat="1" applyFont="1" applyBorder="1" applyAlignment="1" applyProtection="1">
      <alignment horizontal="left" vertical="center"/>
      <protection hidden="1"/>
    </xf>
    <xf numFmtId="0" fontId="5" fillId="0" borderId="28" xfId="0" applyNumberFormat="1" applyFont="1" applyBorder="1" applyAlignment="1" applyProtection="1">
      <alignment horizontal="left" vertical="center"/>
      <protection hidden="1"/>
    </xf>
    <xf numFmtId="0" fontId="5" fillId="0" borderId="30" xfId="0" applyNumberFormat="1" applyFont="1" applyBorder="1" applyAlignment="1" applyProtection="1">
      <alignment horizontal="left" vertical="center"/>
      <protection hidden="1"/>
    </xf>
    <xf numFmtId="177" fontId="5" fillId="0" borderId="31" xfId="0" applyNumberFormat="1" applyFont="1" applyFill="1" applyBorder="1" applyAlignment="1" applyProtection="1">
      <alignment horizontal="right" vertical="center"/>
      <protection locked="0"/>
    </xf>
    <xf numFmtId="177" fontId="5" fillId="0" borderId="15" xfId="0" applyNumberFormat="1" applyFont="1" applyFill="1" applyBorder="1" applyAlignment="1" applyProtection="1">
      <alignment horizontal="right" vertical="center"/>
      <protection locked="0"/>
    </xf>
    <xf numFmtId="0" fontId="5" fillId="6" borderId="27" xfId="0" applyNumberFormat="1" applyFont="1" applyFill="1" applyBorder="1" applyAlignment="1" applyProtection="1">
      <alignment horizontal="left" vertical="center"/>
      <protection locked="0"/>
    </xf>
    <xf numFmtId="0" fontId="5" fillId="6" borderId="28" xfId="0" applyNumberFormat="1" applyFont="1" applyFill="1" applyBorder="1" applyAlignment="1" applyProtection="1">
      <alignment horizontal="left" vertical="center"/>
      <protection locked="0"/>
    </xf>
    <xf numFmtId="0" fontId="5" fillId="6" borderId="38" xfId="0" applyNumberFormat="1" applyFont="1" applyFill="1" applyBorder="1" applyAlignment="1" applyProtection="1">
      <alignment horizontal="left" vertical="center"/>
      <protection locked="0"/>
    </xf>
    <xf numFmtId="0" fontId="6" fillId="3" borderId="27" xfId="0" applyFont="1" applyFill="1" applyBorder="1" applyAlignment="1" applyProtection="1">
      <alignment horizontal="left" vertical="center"/>
      <protection locked="0"/>
    </xf>
    <xf numFmtId="0" fontId="6" fillId="3" borderId="28" xfId="0" applyFont="1" applyFill="1" applyBorder="1" applyAlignment="1" applyProtection="1">
      <alignment horizontal="left" vertical="center"/>
      <protection locked="0"/>
    </xf>
    <xf numFmtId="0" fontId="6" fillId="3" borderId="38" xfId="0" applyFont="1" applyFill="1" applyBorder="1" applyAlignment="1" applyProtection="1">
      <alignment horizontal="left" vertical="center"/>
      <protection locked="0"/>
    </xf>
    <xf numFmtId="0" fontId="6" fillId="0" borderId="29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30" xfId="0" applyFont="1" applyFill="1" applyBorder="1" applyAlignment="1" applyProtection="1">
      <alignment horizontal="center" vertical="center"/>
      <protection locked="0"/>
    </xf>
    <xf numFmtId="0" fontId="5" fillId="5" borderId="28" xfId="0" applyFont="1" applyFill="1" applyBorder="1" applyAlignment="1" applyProtection="1">
      <alignment horizontal="left" vertical="center"/>
      <protection locked="0"/>
    </xf>
    <xf numFmtId="0" fontId="5" fillId="5" borderId="30" xfId="0" applyFont="1" applyFill="1" applyBorder="1" applyAlignment="1" applyProtection="1">
      <alignment horizontal="left" vertical="center"/>
      <protection locked="0"/>
    </xf>
    <xf numFmtId="0" fontId="5" fillId="5" borderId="28" xfId="0" applyFont="1" applyFill="1" applyBorder="1" applyAlignment="1" applyProtection="1">
      <alignment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45" xfId="0" applyFont="1" applyFill="1" applyBorder="1" applyAlignment="1" applyProtection="1">
      <alignment horizontal="center" vertical="center"/>
      <protection locked="0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5" borderId="28" xfId="0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</cellXfs>
  <cellStyles count="2">
    <cellStyle name="Normal" xfId="0" builtinId="0"/>
    <cellStyle name="Normale_campi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37"/>
  <sheetViews>
    <sheetView tabSelected="1" zoomScale="150" zoomScaleNormal="150" zoomScaleSheetLayoutView="100" workbookViewId="0">
      <pane ySplit="3" topLeftCell="A4" activePane="bottomLeft" state="frozen"/>
      <selection pane="bottomLeft" activeCell="BU27" sqref="BU27"/>
    </sheetView>
  </sheetViews>
  <sheetFormatPr defaultColWidth="9.109375" defaultRowHeight="13.2" x14ac:dyDescent="0.25"/>
  <cols>
    <col min="1" max="1" width="1.6640625" style="163" customWidth="1"/>
    <col min="2" max="2" width="2.6640625" style="164" customWidth="1"/>
    <col min="3" max="13" width="2.6640625" style="163" customWidth="1"/>
    <col min="14" max="14" width="0.44140625" style="163" customWidth="1"/>
    <col min="15" max="16" width="2.6640625" style="163" customWidth="1"/>
    <col min="17" max="17" width="0.44140625" style="163" customWidth="1"/>
    <col min="18" max="23" width="2.6640625" style="163" customWidth="1"/>
    <col min="24" max="24" width="0.44140625" style="163" customWidth="1"/>
    <col min="25" max="26" width="2.6640625" style="163" customWidth="1"/>
    <col min="27" max="27" width="0.44140625" style="163" customWidth="1"/>
    <col min="28" max="28" width="2.6640625" style="163" customWidth="1"/>
    <col min="29" max="29" width="1.6640625" style="89" hidden="1" customWidth="1"/>
    <col min="30" max="30" width="4.6640625" style="136" hidden="1" customWidth="1"/>
    <col min="31" max="31" width="6.5546875" style="95" hidden="1" customWidth="1"/>
    <col min="32" max="32" width="6.6640625" style="96" hidden="1" customWidth="1"/>
    <col min="33" max="33" width="8" style="96" hidden="1" customWidth="1"/>
    <col min="34" max="34" width="4.6640625" style="90" hidden="1" customWidth="1"/>
    <col min="35" max="35" width="3.6640625" style="96" hidden="1" customWidth="1"/>
    <col min="36" max="38" width="4.6640625" style="96" hidden="1" customWidth="1"/>
    <col min="39" max="39" width="3.6640625" style="97" hidden="1" customWidth="1"/>
    <col min="40" max="41" width="4.6640625" style="97" hidden="1" customWidth="1"/>
    <col min="42" max="42" width="4.5546875" style="91" hidden="1" customWidth="1"/>
    <col min="43" max="43" width="4.6640625" style="91" hidden="1" customWidth="1"/>
    <col min="44" max="44" width="0" style="91" hidden="1" customWidth="1"/>
    <col min="45" max="72" width="0" style="92" hidden="1" customWidth="1"/>
    <col min="73" max="16384" width="9.109375" style="92"/>
  </cols>
  <sheetData>
    <row r="1" spans="1:49" ht="4.5" customHeight="1" thickBot="1" x14ac:dyDescent="0.3"/>
    <row r="2" spans="1:49" ht="15" customHeight="1" thickBot="1" x14ac:dyDescent="0.3">
      <c r="B2" s="440" t="str">
        <f>IF(AF14&lt;AE11,"Volo Entro Effemeridi - OK","")</f>
        <v/>
      </c>
      <c r="C2" s="441"/>
      <c r="D2" s="441"/>
      <c r="E2" s="441"/>
      <c r="F2" s="441"/>
      <c r="G2" s="441"/>
      <c r="H2" s="441"/>
      <c r="I2" s="441"/>
      <c r="J2" s="441"/>
      <c r="K2" s="441"/>
      <c r="L2" s="442"/>
      <c r="M2" s="165"/>
      <c r="N2" s="165"/>
      <c r="O2" s="443" t="str">
        <f>IF(AF14&gt;AE11,"Fine Volo Oltre Effemeridi","")</f>
        <v/>
      </c>
      <c r="P2" s="444"/>
      <c r="Q2" s="444"/>
      <c r="R2" s="444"/>
      <c r="S2" s="444"/>
      <c r="T2" s="444"/>
      <c r="U2" s="444"/>
      <c r="V2" s="444"/>
      <c r="W2" s="444"/>
      <c r="X2" s="444"/>
      <c r="Y2" s="444"/>
      <c r="Z2" s="444"/>
      <c r="AA2" s="444"/>
      <c r="AB2" s="445"/>
      <c r="AD2" s="127"/>
      <c r="AE2" s="94"/>
      <c r="AF2" s="137"/>
      <c r="AG2" s="137"/>
      <c r="AH2" s="138"/>
      <c r="AI2" s="138"/>
      <c r="AJ2" s="138"/>
      <c r="AK2" s="138"/>
      <c r="AL2" s="138"/>
      <c r="AM2" s="138"/>
      <c r="AN2" s="138"/>
      <c r="AO2" s="138"/>
      <c r="AP2" s="138"/>
    </row>
    <row r="3" spans="1:49" ht="15" customHeight="1" thickBot="1" x14ac:dyDescent="0.3">
      <c r="B3" s="440" t="str">
        <f>IF(AE18&gt;=30,"Autonomia e Riserva - OK","")</f>
        <v/>
      </c>
      <c r="C3" s="441"/>
      <c r="D3" s="441"/>
      <c r="E3" s="441"/>
      <c r="F3" s="441"/>
      <c r="G3" s="441"/>
      <c r="H3" s="441"/>
      <c r="I3" s="441"/>
      <c r="J3" s="441"/>
      <c r="K3" s="441"/>
      <c r="L3" s="442"/>
      <c r="M3" s="165"/>
      <c r="N3" s="165"/>
      <c r="O3" s="443" t="str">
        <f>IF(AND(AE18&lt;&gt;0,AE18&lt;30),"Autonomia Insufficiente","")</f>
        <v/>
      </c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5"/>
      <c r="AD3" s="127"/>
      <c r="AE3" s="206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</row>
    <row r="4" spans="1:49" ht="3" customHeight="1" thickBot="1" x14ac:dyDescent="0.3">
      <c r="AD4" s="127"/>
      <c r="AE4" s="94"/>
      <c r="AF4" s="90"/>
      <c r="AG4" s="90"/>
      <c r="AI4" s="90"/>
      <c r="AJ4" s="90"/>
      <c r="AK4" s="90"/>
      <c r="AL4" s="90"/>
      <c r="AM4" s="140"/>
      <c r="AN4" s="140"/>
      <c r="AO4" s="140"/>
      <c r="AP4" s="140"/>
    </row>
    <row r="5" spans="1:49" ht="9" customHeight="1" thickBot="1" x14ac:dyDescent="0.3">
      <c r="B5" s="475" t="s">
        <v>2981</v>
      </c>
      <c r="C5" s="476"/>
      <c r="D5" s="476"/>
      <c r="E5" s="476"/>
      <c r="F5" s="476"/>
      <c r="G5" s="214" t="s">
        <v>2984</v>
      </c>
      <c r="H5" s="166"/>
      <c r="I5" s="167"/>
      <c r="J5" s="475" t="s">
        <v>2979</v>
      </c>
      <c r="K5" s="476"/>
      <c r="L5" s="476"/>
      <c r="M5" s="476"/>
      <c r="N5" s="473" t="s">
        <v>2983</v>
      </c>
      <c r="O5" s="474"/>
      <c r="P5" s="167"/>
      <c r="Q5" s="167"/>
      <c r="R5" s="167"/>
      <c r="S5" s="464" t="s">
        <v>2982</v>
      </c>
      <c r="T5" s="465"/>
      <c r="U5" s="465"/>
      <c r="V5" s="465"/>
      <c r="W5" s="465"/>
      <c r="X5" s="465"/>
      <c r="Y5" s="466"/>
      <c r="Z5" s="467" t="str">
        <f>IF(G5="Km","Km/h",IF(G5="NM","Kt",IF(G5="SM","MPH","Vuoto")))</f>
        <v>Km/h</v>
      </c>
      <c r="AA5" s="468"/>
      <c r="AB5" s="469" t="str">
        <f>IF(I5="Mt",1,IF(I5="Ft",1.852,"Vuoto"))</f>
        <v>Vuoto</v>
      </c>
      <c r="AC5" s="93"/>
      <c r="AD5" s="139"/>
      <c r="AE5" s="90">
        <f>IF(G5="Km",1,IF(G5="NM",1.852,IF(G5="SM",1.609344,"Vuoto")))</f>
        <v>1</v>
      </c>
      <c r="AF5" s="90">
        <f>IF(N5="Mt",15,IF(N5="Ft",21,"Vuoto"))</f>
        <v>21</v>
      </c>
      <c r="AG5" s="90"/>
      <c r="AH5" s="94"/>
      <c r="AI5" s="94"/>
      <c r="AJ5" s="94"/>
      <c r="AK5" s="90"/>
      <c r="AL5" s="90"/>
      <c r="AM5" s="140"/>
      <c r="AN5" s="140"/>
      <c r="AO5" s="140"/>
      <c r="AP5" s="140"/>
      <c r="AS5" s="91"/>
      <c r="AT5" s="91"/>
      <c r="AU5" s="91"/>
      <c r="AV5" s="91"/>
      <c r="AW5" s="91"/>
    </row>
    <row r="6" spans="1:49" ht="3" customHeight="1" thickBot="1" x14ac:dyDescent="0.3">
      <c r="AD6" s="127"/>
      <c r="AE6" s="94"/>
      <c r="AF6" s="90"/>
      <c r="AG6" s="90"/>
      <c r="AI6" s="90"/>
      <c r="AJ6" s="90"/>
      <c r="AK6" s="90"/>
      <c r="AL6" s="90"/>
      <c r="AM6" s="140"/>
      <c r="AN6" s="140"/>
      <c r="AO6" s="140"/>
      <c r="AP6" s="140"/>
    </row>
    <row r="7" spans="1:49" ht="12" customHeight="1" thickBot="1" x14ac:dyDescent="0.3">
      <c r="B7" s="477" t="s">
        <v>2898</v>
      </c>
      <c r="C7" s="478"/>
      <c r="D7" s="478"/>
      <c r="E7" s="478"/>
      <c r="F7" s="478"/>
      <c r="G7" s="478"/>
      <c r="H7" s="478"/>
      <c r="I7" s="244" t="s">
        <v>2256</v>
      </c>
      <c r="J7" s="472" t="str">
        <f>IF(B17&lt;&gt;"",(VLOOKUP(B17,Waypoints!A2:AZ4996,6,FALSE)),"")</f>
        <v/>
      </c>
      <c r="K7" s="472" t="str">
        <f>IF(B6&lt;&gt;"",(VLOOKUP(#REF!,Waypoints!#REF!,3,FALSE)),"")</f>
        <v/>
      </c>
      <c r="L7" s="472" t="str">
        <f>IF(C6&lt;&gt;"",(VLOOKUP(#REF!,Waypoints!#REF!,3,FALSE)),"")</f>
        <v/>
      </c>
      <c r="M7" s="472" t="str">
        <f>IF(D6&lt;&gt;"",(VLOOKUP(#REF!,Waypoints!#REF!,3,FALSE)),"")</f>
        <v/>
      </c>
      <c r="N7" s="472" t="str">
        <f>IF(E6&lt;&gt;"",(VLOOKUP(#REF!,Waypoints!#REF!,3,FALSE)),"")</f>
        <v/>
      </c>
      <c r="O7" s="472" t="str">
        <f>IF(F6&lt;&gt;"",(VLOOKUP(#REF!,Waypoints!#REF!,3,FALSE)),"")</f>
        <v/>
      </c>
      <c r="P7" s="472" t="str">
        <f>IF(G6&lt;&gt;"",(VLOOKUP(#REF!,Waypoints!#REF!,3,FALSE)),"")</f>
        <v/>
      </c>
      <c r="Q7" s="472" t="str">
        <f>IF(H6&lt;&gt;"",(VLOOKUP(#REF!,Waypoints!#REF!,3,FALSE)),"")</f>
        <v/>
      </c>
      <c r="R7" s="472" t="str">
        <f>IF(I6&lt;&gt;"",(VLOOKUP(#REF!,Waypoints!#REF!,3,FALSE)),"")</f>
        <v/>
      </c>
      <c r="S7" s="244" t="s">
        <v>2257</v>
      </c>
      <c r="T7" s="470" t="str">
        <f>IF(AF9&lt;&gt;"Vuoto",(VLOOKUP(AF9,Waypoints!A2:AZ4996,6,FALSE)),"")</f>
        <v/>
      </c>
      <c r="U7" s="470" t="str">
        <f>IF(L6&lt;&gt;"",(VLOOKUP(T6,Waypoints!#REF!,3,FALSE)),"")</f>
        <v/>
      </c>
      <c r="V7" s="470" t="str">
        <f>IF(M6&lt;&gt;"",(VLOOKUP(U6,Waypoints!#REF!,3,FALSE)),"")</f>
        <v/>
      </c>
      <c r="W7" s="470" t="str">
        <f>IF(N6&lt;&gt;"",(VLOOKUP(V6,Waypoints!#REF!,3,FALSE)),"")</f>
        <v/>
      </c>
      <c r="X7" s="470" t="str">
        <f>IF(O6&lt;&gt;"",(VLOOKUP(W6,Waypoints!#REF!,3,FALSE)),"")</f>
        <v/>
      </c>
      <c r="Y7" s="470" t="str">
        <f>IF(P6&lt;&gt;"",(VLOOKUP(X6,Waypoints!#REF!,3,FALSE)),"")</f>
        <v/>
      </c>
      <c r="Z7" s="470" t="str">
        <f>IF(Q6&lt;&gt;"",(VLOOKUP(Y6,Waypoints!#REF!,3,FALSE)),"")</f>
        <v/>
      </c>
      <c r="AA7" s="470" t="str">
        <f>IF(R6&lt;&gt;"",(VLOOKUP(Z6,Waypoints!#REF!,3,FALSE)),"")</f>
        <v/>
      </c>
      <c r="AB7" s="471" t="str">
        <f>IF(S6&lt;&gt;"",(VLOOKUP(AA6,Waypoints!#REF!,3,FALSE)),"")</f>
        <v/>
      </c>
      <c r="AC7" s="98"/>
      <c r="AD7" s="90"/>
      <c r="AE7" s="94"/>
      <c r="AF7" s="99"/>
      <c r="AG7" s="90"/>
      <c r="AI7" s="90"/>
      <c r="AJ7" s="90"/>
      <c r="AK7" s="90"/>
      <c r="AL7" s="90"/>
      <c r="AM7" s="140"/>
      <c r="AN7" s="140"/>
      <c r="AO7" s="140"/>
      <c r="AP7" s="140"/>
    </row>
    <row r="8" spans="1:49" ht="3" customHeight="1" thickBot="1" x14ac:dyDescent="0.3">
      <c r="A8" s="168"/>
      <c r="B8" s="168"/>
      <c r="C8" s="169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9"/>
      <c r="AA8" s="169"/>
      <c r="AB8" s="170"/>
      <c r="AD8" s="127"/>
      <c r="AE8" s="94"/>
      <c r="AF8" s="90"/>
      <c r="AG8" s="90"/>
      <c r="AI8" s="90"/>
      <c r="AJ8" s="90"/>
      <c r="AK8" s="90"/>
      <c r="AL8" s="90"/>
      <c r="AM8" s="140"/>
      <c r="AN8" s="140"/>
      <c r="AO8" s="140"/>
      <c r="AP8" s="140"/>
    </row>
    <row r="9" spans="1:49" ht="12" customHeight="1" thickBot="1" x14ac:dyDescent="0.3">
      <c r="A9" s="168"/>
      <c r="B9" s="349" t="s">
        <v>2897</v>
      </c>
      <c r="C9" s="350"/>
      <c r="D9" s="351"/>
      <c r="E9" s="352"/>
      <c r="F9" s="353"/>
      <c r="G9" s="354" t="s">
        <v>2179</v>
      </c>
      <c r="H9" s="355"/>
      <c r="I9" s="356"/>
      <c r="J9" s="357" t="str">
        <f>IF(E9&lt;&gt;"",(VLOOKUP(E9,Aerei!A2:Z95,2,FALSE)),"")</f>
        <v/>
      </c>
      <c r="K9" s="357"/>
      <c r="L9" s="357"/>
      <c r="M9" s="357"/>
      <c r="N9" s="357"/>
      <c r="O9" s="357"/>
      <c r="P9" s="357"/>
      <c r="Q9" s="357"/>
      <c r="R9" s="357"/>
      <c r="S9" s="357"/>
      <c r="T9" s="313" t="s">
        <v>1269</v>
      </c>
      <c r="U9" s="315"/>
      <c r="V9" s="333"/>
      <c r="W9" s="333"/>
      <c r="X9" s="333"/>
      <c r="Y9" s="333"/>
      <c r="Z9" s="333"/>
      <c r="AA9" s="333"/>
      <c r="AB9" s="334"/>
      <c r="AC9" s="100"/>
      <c r="AD9" s="104"/>
      <c r="AE9" s="90"/>
      <c r="AF9" s="90" t="str">
        <f>IF(AG63=1,B63,IF(AG56=1,B56,IF(AG49=1,B49,IF(AG42=1,B42,IF(AG35=1,B35,IF(AG28=1,B28,IF(AG21=1,B21,"Vuoto")))))))</f>
        <v>Vuoto</v>
      </c>
      <c r="AG9" s="90"/>
      <c r="AI9" s="90"/>
      <c r="AJ9" s="90"/>
      <c r="AK9" s="90"/>
      <c r="AL9" s="90"/>
      <c r="AM9" s="101"/>
      <c r="AN9" s="128"/>
      <c r="AO9" s="140"/>
      <c r="AP9" s="140"/>
    </row>
    <row r="10" spans="1:49" ht="3" customHeight="1" thickBot="1" x14ac:dyDescent="0.3">
      <c r="A10" s="168"/>
      <c r="B10" s="175"/>
      <c r="C10" s="175"/>
      <c r="D10" s="175"/>
      <c r="E10" s="176"/>
      <c r="F10" s="176"/>
      <c r="G10" s="176"/>
      <c r="H10" s="176"/>
      <c r="I10" s="176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8"/>
      <c r="X10" s="178"/>
      <c r="Y10" s="178"/>
      <c r="Z10" s="177"/>
      <c r="AA10" s="177"/>
      <c r="AB10" s="177"/>
      <c r="AC10" s="100"/>
      <c r="AD10" s="104"/>
      <c r="AE10" s="90"/>
      <c r="AF10" s="90"/>
      <c r="AG10" s="90"/>
      <c r="AI10" s="90"/>
      <c r="AJ10" s="90"/>
      <c r="AK10" s="90"/>
      <c r="AL10" s="90"/>
      <c r="AM10" s="104"/>
      <c r="AN10" s="104"/>
      <c r="AO10" s="140"/>
      <c r="AP10" s="140"/>
    </row>
    <row r="11" spans="1:49" ht="12" customHeight="1" thickBot="1" x14ac:dyDescent="0.3">
      <c r="A11" s="168"/>
      <c r="B11" s="313" t="s">
        <v>1313</v>
      </c>
      <c r="C11" s="314"/>
      <c r="D11" s="314"/>
      <c r="E11" s="314"/>
      <c r="F11" s="314"/>
      <c r="G11" s="314"/>
      <c r="H11" s="314"/>
      <c r="I11" s="314"/>
      <c r="J11" s="314"/>
      <c r="K11" s="315"/>
      <c r="L11" s="446" t="str">
        <f>IF(E9&lt;&gt;"",(VLOOKUP(E9,Aerei!A2:Z95,4,FALSE)),"")</f>
        <v/>
      </c>
      <c r="M11" s="447" t="str">
        <f>IF(K11&lt;&gt;"",(VLOOKUP(K11,#REF!,2,FALSE)),"")</f>
        <v/>
      </c>
      <c r="N11" s="340" t="s">
        <v>1307</v>
      </c>
      <c r="O11" s="341"/>
      <c r="P11" s="341"/>
      <c r="Q11" s="341"/>
      <c r="R11" s="341"/>
      <c r="S11" s="341"/>
      <c r="T11" s="341"/>
      <c r="U11" s="341"/>
      <c r="V11" s="341"/>
      <c r="W11" s="341"/>
      <c r="X11" s="341"/>
      <c r="Y11" s="342"/>
      <c r="Z11" s="343" t="str">
        <f>IF(E9&lt;&gt;"",(VLOOKUP(E9,Aerei!A2:Z95,6,FALSE)),"")</f>
        <v/>
      </c>
      <c r="AA11" s="344" t="str">
        <f>IF(Y11&lt;&gt;"",(VLOOKUP(Y11,#REF!,2,FALSE)),"")</f>
        <v/>
      </c>
      <c r="AB11" s="345" t="str">
        <f>IF(Z11&lt;&gt;"",(VLOOKUP(Z11,#REF!,2,FALSE)),"")</f>
        <v/>
      </c>
      <c r="AC11" s="100"/>
      <c r="AD11" s="104"/>
      <c r="AE11" s="102">
        <f>IF(AB18&lt;&gt;"",Z18*60+AB18,0)</f>
        <v>0</v>
      </c>
      <c r="AF11" s="103" t="str">
        <f>IF(W17&lt;&gt;"",(VLOOKUP(B17,Waypoints!A2:AZ4996,3,FALSE)),"")</f>
        <v/>
      </c>
      <c r="AG11" s="103" t="str">
        <f>IF(X17&lt;&gt;"",(VLOOKUP(AF9,Waypoints!A2:AZ4996,3,FALSE)),"")</f>
        <v/>
      </c>
      <c r="AI11" s="90"/>
      <c r="AJ11" s="90"/>
      <c r="AK11" s="90"/>
      <c r="AL11" s="90"/>
      <c r="AM11" s="104"/>
      <c r="AN11" s="104"/>
      <c r="AO11" s="140"/>
      <c r="AP11" s="140"/>
    </row>
    <row r="12" spans="1:49" ht="12" customHeight="1" thickBot="1" x14ac:dyDescent="0.3">
      <c r="A12" s="168"/>
      <c r="B12" s="461" t="s">
        <v>1314</v>
      </c>
      <c r="C12" s="462"/>
      <c r="D12" s="462"/>
      <c r="E12" s="462"/>
      <c r="F12" s="462"/>
      <c r="G12" s="462"/>
      <c r="H12" s="462"/>
      <c r="I12" s="462"/>
      <c r="J12" s="462"/>
      <c r="K12" s="463"/>
      <c r="L12" s="323"/>
      <c r="M12" s="324"/>
      <c r="N12" s="313" t="s">
        <v>1308</v>
      </c>
      <c r="O12" s="314"/>
      <c r="P12" s="314"/>
      <c r="Q12" s="314"/>
      <c r="R12" s="314"/>
      <c r="S12" s="314"/>
      <c r="T12" s="314"/>
      <c r="U12" s="314"/>
      <c r="V12" s="314"/>
      <c r="W12" s="314"/>
      <c r="X12" s="314"/>
      <c r="Y12" s="315"/>
      <c r="Z12" s="185" t="str">
        <f>IF(AD125&lt;&gt;0,TRUNC((AD125+AL125+15)/60),"")</f>
        <v/>
      </c>
      <c r="AA12" s="186" t="s">
        <v>199</v>
      </c>
      <c r="AB12" s="187" t="str">
        <f>IF(AD125&lt;&gt;0,(AD125+AL125+15)-Z12*60,"")</f>
        <v/>
      </c>
      <c r="AC12" s="100"/>
      <c r="AD12" s="104"/>
      <c r="AE12" s="90"/>
      <c r="AF12" s="106"/>
      <c r="AG12" s="107"/>
      <c r="AH12" s="107"/>
      <c r="AI12" s="107"/>
      <c r="AJ12" s="90"/>
      <c r="AK12" s="90"/>
      <c r="AL12" s="90"/>
      <c r="AM12" s="104"/>
      <c r="AN12" s="104"/>
      <c r="AO12" s="140"/>
      <c r="AP12" s="140"/>
    </row>
    <row r="13" spans="1:49" ht="12" customHeight="1" thickBot="1" x14ac:dyDescent="0.3">
      <c r="A13" s="168"/>
      <c r="B13" s="453" t="s">
        <v>1315</v>
      </c>
      <c r="C13" s="329"/>
      <c r="D13" s="330"/>
      <c r="E13" s="325">
        <f>L12+AQ125</f>
        <v>0</v>
      </c>
      <c r="F13" s="327"/>
      <c r="G13" s="328" t="s">
        <v>1316</v>
      </c>
      <c r="H13" s="329"/>
      <c r="I13" s="329"/>
      <c r="J13" s="329"/>
      <c r="K13" s="330"/>
      <c r="L13" s="325">
        <f>IF(L11&lt;&gt;"",ROUNDUP((AD125+AL125+30)*(L11/60),0),0)</f>
        <v>0</v>
      </c>
      <c r="M13" s="326"/>
      <c r="N13" s="313" t="s">
        <v>1309</v>
      </c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5"/>
      <c r="Z13" s="171" t="str">
        <f>IF(L12&lt;&gt;"",TRUNC(AM125/L11),"")</f>
        <v/>
      </c>
      <c r="AA13" s="172" t="s">
        <v>199</v>
      </c>
      <c r="AB13" s="174" t="str">
        <f>IF(L12&lt;&gt;"",AM125/L11*60-Z13*60,"")</f>
        <v/>
      </c>
      <c r="AC13" s="100"/>
      <c r="AD13" s="104"/>
      <c r="AE13" s="102">
        <f>M18*60+O18</f>
        <v>0</v>
      </c>
      <c r="AF13" s="102">
        <f>P18*60+R18</f>
        <v>0</v>
      </c>
      <c r="AG13" s="102">
        <f>AF13-AE13</f>
        <v>0</v>
      </c>
      <c r="AI13" s="90"/>
      <c r="AJ13" s="90"/>
      <c r="AK13" s="90"/>
      <c r="AL13" s="90"/>
      <c r="AM13" s="90"/>
      <c r="AN13" s="90"/>
      <c r="AO13" s="140"/>
      <c r="AP13" s="140"/>
    </row>
    <row r="14" spans="1:49" ht="12" customHeight="1" thickBot="1" x14ac:dyDescent="0.3">
      <c r="A14" s="168"/>
      <c r="B14" s="316" t="s">
        <v>2199</v>
      </c>
      <c r="C14" s="317"/>
      <c r="D14" s="317"/>
      <c r="E14" s="317"/>
      <c r="F14" s="317"/>
      <c r="G14" s="317"/>
      <c r="H14" s="317"/>
      <c r="I14" s="317"/>
      <c r="J14" s="331" t="str">
        <f>IF(Z5&lt;&gt;0,Z5,"")</f>
        <v>Km/h</v>
      </c>
      <c r="K14" s="332"/>
      <c r="L14" s="459" t="str">
        <f>IF(AE125&lt;&gt;0,AE125/AN125,"")</f>
        <v/>
      </c>
      <c r="M14" s="460"/>
      <c r="N14" s="313" t="s">
        <v>1310</v>
      </c>
      <c r="O14" s="314"/>
      <c r="P14" s="314"/>
      <c r="Q14" s="314"/>
      <c r="R14" s="314"/>
      <c r="S14" s="314"/>
      <c r="T14" s="314"/>
      <c r="U14" s="314"/>
      <c r="V14" s="314"/>
      <c r="W14" s="314"/>
      <c r="X14" s="314"/>
      <c r="Y14" s="315"/>
      <c r="Z14" s="207">
        <f>IF(AND(AD125&gt;0,SIGN(AE18)=1),TRUNC(AE18/60),0)</f>
        <v>0</v>
      </c>
      <c r="AA14" s="200" t="s">
        <v>199</v>
      </c>
      <c r="AB14" s="208">
        <f>IF(SIGN(AE18)=1,AE18-Z14*60,0)</f>
        <v>0</v>
      </c>
      <c r="AC14" s="177"/>
      <c r="AD14" s="177"/>
      <c r="AE14" s="102">
        <f>AD125+AL125+15</f>
        <v>15</v>
      </c>
      <c r="AF14" s="102">
        <f>IF(M18&lt;&gt;"",AE13+AD125+AO125+AL125+15,0)</f>
        <v>0</v>
      </c>
      <c r="AG14" s="90"/>
      <c r="AI14" s="90"/>
      <c r="AJ14" s="90"/>
      <c r="AK14" s="90"/>
      <c r="AL14" s="90"/>
      <c r="AM14" s="90"/>
      <c r="AN14" s="90"/>
      <c r="AO14" s="140"/>
      <c r="AP14" s="140"/>
    </row>
    <row r="15" spans="1:49" ht="12" customHeight="1" thickBot="1" x14ac:dyDescent="0.3">
      <c r="A15" s="168"/>
      <c r="B15" s="318" t="s">
        <v>1312</v>
      </c>
      <c r="C15" s="319"/>
      <c r="D15" s="319"/>
      <c r="E15" s="319"/>
      <c r="F15" s="319"/>
      <c r="G15" s="319"/>
      <c r="H15" s="319"/>
      <c r="I15" s="319"/>
      <c r="J15" s="319"/>
      <c r="K15" s="320"/>
      <c r="L15" s="321">
        <f>AN125</f>
        <v>0</v>
      </c>
      <c r="M15" s="322"/>
      <c r="N15" s="346" t="s">
        <v>1311</v>
      </c>
      <c r="O15" s="347"/>
      <c r="P15" s="347"/>
      <c r="Q15" s="347"/>
      <c r="R15" s="347"/>
      <c r="S15" s="347"/>
      <c r="T15" s="347"/>
      <c r="U15" s="347"/>
      <c r="V15" s="347"/>
      <c r="W15" s="347"/>
      <c r="X15" s="347"/>
      <c r="Y15" s="348"/>
      <c r="Z15" s="173">
        <f>IF(AG13&lt;&gt;"",TRUNC(AG13/60),"")</f>
        <v>0</v>
      </c>
      <c r="AA15" s="172" t="s">
        <v>199</v>
      </c>
      <c r="AB15" s="174">
        <f>IF(AG13&lt;&gt;"",AG13-Z15*60,"")</f>
        <v>0</v>
      </c>
      <c r="AC15" s="177"/>
      <c r="AD15" s="177"/>
      <c r="AE15" s="102"/>
      <c r="AF15" s="102"/>
      <c r="AG15" s="90"/>
      <c r="AI15" s="90"/>
      <c r="AJ15" s="90"/>
      <c r="AK15" s="90"/>
      <c r="AL15" s="90"/>
      <c r="AM15" s="90"/>
      <c r="AN15" s="90"/>
      <c r="AO15" s="140"/>
      <c r="AP15" s="140"/>
    </row>
    <row r="16" spans="1:49" ht="3" customHeight="1" thickBot="1" x14ac:dyDescent="0.3">
      <c r="A16" s="168"/>
      <c r="B16" s="175"/>
      <c r="C16" s="175"/>
      <c r="D16" s="175"/>
      <c r="E16" s="176"/>
      <c r="F16" s="176"/>
      <c r="G16" s="176"/>
      <c r="H16" s="176"/>
      <c r="I16" s="176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8"/>
      <c r="X16" s="178"/>
      <c r="Y16" s="178"/>
      <c r="Z16" s="177"/>
      <c r="AA16" s="177"/>
      <c r="AB16" s="177"/>
      <c r="AC16" s="177"/>
      <c r="AD16" s="177"/>
      <c r="AG16" s="90"/>
      <c r="AI16" s="90"/>
      <c r="AJ16" s="90"/>
      <c r="AK16" s="90"/>
      <c r="AL16" s="90"/>
      <c r="AM16" s="141"/>
      <c r="AN16" s="141"/>
      <c r="AO16" s="141"/>
      <c r="AP16" s="141"/>
      <c r="AQ16" s="92"/>
      <c r="AR16" s="92"/>
    </row>
    <row r="17" spans="1:44" ht="12" customHeight="1" thickBot="1" x14ac:dyDescent="0.3">
      <c r="A17" s="168"/>
      <c r="B17" s="454"/>
      <c r="C17" s="105" t="str">
        <f>IF(B17&lt;&gt;"",(VLOOKUP(B17,Waypoints!A2:AZ4996,2,FALSE)),"")</f>
        <v/>
      </c>
      <c r="D17" s="456" t="str">
        <f>IF(B17&lt;&gt;"",(VLOOKUP(B17,Waypoints!A2:AZ4996,6,FALSE)),"")</f>
        <v/>
      </c>
      <c r="E17" s="457"/>
      <c r="F17" s="457"/>
      <c r="G17" s="457"/>
      <c r="H17" s="457"/>
      <c r="I17" s="457"/>
      <c r="J17" s="458"/>
      <c r="K17" s="450" t="s">
        <v>196</v>
      </c>
      <c r="L17" s="452"/>
      <c r="M17" s="450" t="s">
        <v>74</v>
      </c>
      <c r="N17" s="451"/>
      <c r="O17" s="452"/>
      <c r="P17" s="450" t="s">
        <v>112</v>
      </c>
      <c r="Q17" s="451"/>
      <c r="R17" s="452"/>
      <c r="S17" s="437" t="s">
        <v>2787</v>
      </c>
      <c r="T17" s="438"/>
      <c r="U17" s="438"/>
      <c r="V17" s="439"/>
      <c r="W17" s="205"/>
      <c r="X17" s="335"/>
      <c r="Y17" s="336"/>
      <c r="Z17" s="337"/>
      <c r="AA17" s="338"/>
      <c r="AB17" s="339"/>
      <c r="AC17" s="100"/>
      <c r="AD17" s="104"/>
      <c r="AE17" s="102">
        <f>IF(Z13&lt;&gt;"",Z13*60+AB13,0)</f>
        <v>0</v>
      </c>
      <c r="AF17" s="90"/>
      <c r="AG17" s="90"/>
      <c r="AI17" s="90"/>
      <c r="AJ17" s="90"/>
      <c r="AK17" s="90"/>
      <c r="AL17" s="90"/>
      <c r="AM17" s="116"/>
      <c r="AN17" s="128"/>
      <c r="AO17" s="140"/>
      <c r="AP17" s="140"/>
    </row>
    <row r="18" spans="1:44" ht="12" customHeight="1" thickBot="1" x14ac:dyDescent="0.3">
      <c r="A18" s="168"/>
      <c r="B18" s="455"/>
      <c r="C18" s="108" t="str">
        <f>IF(B17&lt;&gt;"",(VLOOKUP(B17,Waypoints!A2:AZ4996,7,FALSE)),"")</f>
        <v/>
      </c>
      <c r="D18" s="109" t="str">
        <f>IF(B17&lt;&gt;"",(VLOOKUP(B17,Waypoints!A2:AZ4996,8,FALSE)),"")</f>
        <v/>
      </c>
      <c r="E18" s="109" t="str">
        <f>IF(B17&lt;&gt;"",(VLOOKUP(B17,Waypoints!A2:AZ4996,9,FALSE)),"")</f>
        <v/>
      </c>
      <c r="F18" s="109" t="str">
        <f>IF(B17&lt;&gt;"",(VLOOKUP(B17,Waypoints!A2:AZ4996,10,FALSE)),"")</f>
        <v/>
      </c>
      <c r="G18" s="109" t="str">
        <f>IF(B17&lt;&gt;"",(VLOOKUP(B17,Waypoints!A2:AZ4996,11,FALSE)),"")</f>
        <v/>
      </c>
      <c r="H18" s="109" t="str">
        <f>IF(B17&lt;&gt;"",(VLOOKUP(B17,Waypoints!A2:AZ4996,12,FALSE)),"")</f>
        <v/>
      </c>
      <c r="I18" s="109" t="str">
        <f>IF(B17&lt;&gt;"",(VLOOKUP(B17,Waypoints!A2:AZ4996,13,FALSE)),"")</f>
        <v/>
      </c>
      <c r="J18" s="110" t="str">
        <f>IF(B17&lt;&gt;"",(VLOOKUP(B17,Waypoints!A2:AZ4996,14,FALSE)),"")</f>
        <v/>
      </c>
      <c r="K18" s="448" t="str">
        <f>IF(B17&lt;&gt;"",(VLOOKUP(B17,Waypoints!A2:AZ4996,AF5,FALSE)),"")</f>
        <v/>
      </c>
      <c r="L18" s="449"/>
      <c r="M18" s="203"/>
      <c r="N18" s="111" t="s">
        <v>199</v>
      </c>
      <c r="O18" s="204"/>
      <c r="P18" s="112">
        <f>IF(AF14&lt;&gt;"",TRUNC(AF14/60),"")</f>
        <v>0</v>
      </c>
      <c r="Q18" s="111" t="s">
        <v>199</v>
      </c>
      <c r="R18" s="113">
        <f>IF(AF14&lt;&gt;"",AF14-P18*60,"")</f>
        <v>0</v>
      </c>
      <c r="S18" s="437" t="s">
        <v>111</v>
      </c>
      <c r="T18" s="438"/>
      <c r="U18" s="438"/>
      <c r="V18" s="439"/>
      <c r="W18" s="215" t="str">
        <f>IF(W17&lt;&gt;"",(VLOOKUP(AF11,Effemeridi!A2:AZ501,2+4*(X17-1),FALSE)),"")</f>
        <v/>
      </c>
      <c r="X18" s="216" t="s">
        <v>199</v>
      </c>
      <c r="Y18" s="217" t="str">
        <f>IF(X17&lt;&gt;"",(VLOOKUP(AF11,Effemeridi!A2:AZ501,2+4*(X17-1)+1,FALSE)),"")</f>
        <v/>
      </c>
      <c r="Z18" s="218" t="str">
        <f>IF(X17&lt;&gt;"",(VLOOKUP(AG11,Effemeridi!A2:AZ501,4+4*(X17-1),FALSE)),"")</f>
        <v/>
      </c>
      <c r="AA18" s="216" t="s">
        <v>199</v>
      </c>
      <c r="AB18" s="219" t="str">
        <f>IF(X17&lt;&gt;"",(VLOOKUP(AG11,Effemeridi!A2:AZ501,4+4*(X17-1)+1,FALSE)),"")</f>
        <v/>
      </c>
      <c r="AC18" s="100"/>
      <c r="AD18" s="104"/>
      <c r="AE18" s="102">
        <f>IF(AE17&lt;&gt;0,AE17-AE14,0)</f>
        <v>0</v>
      </c>
      <c r="AF18" s="117"/>
      <c r="AG18" s="90"/>
      <c r="AI18" s="90"/>
      <c r="AJ18" s="90"/>
      <c r="AK18" s="90"/>
      <c r="AL18" s="90"/>
      <c r="AM18" s="104"/>
      <c r="AN18" s="128"/>
      <c r="AO18" s="140"/>
      <c r="AP18" s="140"/>
    </row>
    <row r="19" spans="1:44" ht="3" customHeight="1" thickBot="1" x14ac:dyDescent="0.3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6"/>
      <c r="V19" s="176"/>
      <c r="W19" s="176"/>
      <c r="X19" s="176"/>
      <c r="Y19" s="176"/>
      <c r="Z19" s="176"/>
      <c r="AA19" s="176"/>
      <c r="AB19" s="176"/>
      <c r="AC19" s="100"/>
      <c r="AD19" s="104"/>
      <c r="AE19" s="90"/>
      <c r="AF19" s="90"/>
      <c r="AG19" s="90"/>
      <c r="AI19" s="90"/>
      <c r="AJ19" s="90"/>
      <c r="AK19" s="90"/>
      <c r="AL19" s="90"/>
      <c r="AM19" s="140"/>
      <c r="AN19" s="140"/>
      <c r="AO19" s="140"/>
      <c r="AP19" s="140"/>
    </row>
    <row r="20" spans="1:44" ht="6.9" customHeight="1" x14ac:dyDescent="0.25">
      <c r="A20" s="168"/>
      <c r="B20" s="209" t="s">
        <v>1926</v>
      </c>
      <c r="C20" s="209" t="s">
        <v>419</v>
      </c>
      <c r="D20" s="433" t="s">
        <v>2900</v>
      </c>
      <c r="E20" s="434"/>
      <c r="F20" s="434"/>
      <c r="G20" s="434"/>
      <c r="H20" s="434"/>
      <c r="I20" s="434"/>
      <c r="J20" s="435"/>
      <c r="K20" s="363" t="s">
        <v>420</v>
      </c>
      <c r="L20" s="365"/>
      <c r="M20" s="363" t="s">
        <v>2331</v>
      </c>
      <c r="N20" s="364"/>
      <c r="O20" s="222" t="str">
        <f>G5</f>
        <v>Km</v>
      </c>
      <c r="P20" s="363" t="s">
        <v>1306</v>
      </c>
      <c r="Q20" s="364"/>
      <c r="R20" s="365"/>
      <c r="S20" s="366" t="s">
        <v>421</v>
      </c>
      <c r="T20" s="367"/>
      <c r="U20" s="211" t="s">
        <v>2333</v>
      </c>
      <c r="V20" s="210" t="str">
        <f>Z5</f>
        <v>Km/h</v>
      </c>
      <c r="W20" s="366" t="s">
        <v>2330</v>
      </c>
      <c r="X20" s="428"/>
      <c r="Y20" s="367"/>
      <c r="Z20" s="429" t="s">
        <v>196</v>
      </c>
      <c r="AA20" s="430"/>
      <c r="AB20" s="222" t="str">
        <f>N5</f>
        <v>Ft</v>
      </c>
      <c r="AC20" s="100"/>
      <c r="AD20" s="104"/>
      <c r="AE20" s="90"/>
      <c r="AF20" s="90"/>
      <c r="AG20" s="90"/>
      <c r="AI20" s="90"/>
      <c r="AJ20" s="90"/>
      <c r="AK20" s="90"/>
      <c r="AL20" s="90"/>
      <c r="AM20" s="104"/>
      <c r="AN20" s="140"/>
      <c r="AO20" s="140"/>
      <c r="AP20" s="140"/>
    </row>
    <row r="21" spans="1:44" ht="12" customHeight="1" thickBot="1" x14ac:dyDescent="0.3">
      <c r="A21" s="168"/>
      <c r="B21" s="436"/>
      <c r="C21" s="189" t="str">
        <f>IF(B21&lt;&gt;"",(VLOOKUP(B21,Waypoints!A2:AZ4996,2,FALSE)),"")</f>
        <v/>
      </c>
      <c r="D21" s="407" t="str">
        <f>IF(AND(B21&lt;&gt;"",N(AH25&gt;=Z11)),(VLOOKUP(B21,Waypoints!A2:AZ4996,6,FALSE)),AJ21)</f>
        <v/>
      </c>
      <c r="E21" s="408"/>
      <c r="F21" s="408"/>
      <c r="G21" s="408"/>
      <c r="H21" s="408"/>
      <c r="I21" s="408"/>
      <c r="J21" s="409"/>
      <c r="K21" s="410" t="str">
        <f>IF(B21&lt;&gt;"",Calcoli!J4,"")</f>
        <v/>
      </c>
      <c r="L21" s="411"/>
      <c r="M21" s="416" t="str">
        <f>IF(B21&lt;&gt;"",Calcoli!K4/AE5,"")</f>
        <v/>
      </c>
      <c r="N21" s="417"/>
      <c r="O21" s="418"/>
      <c r="P21" s="311" t="str">
        <f>IF(M21&lt;&gt;"",TRUNC((AD21+AL23)/60),"")</f>
        <v/>
      </c>
      <c r="Q21" s="220" t="s">
        <v>199</v>
      </c>
      <c r="R21" s="312" t="str">
        <f>IF(M21&lt;&gt;"",AD21-TRUNC(P21)*60,"")</f>
        <v/>
      </c>
      <c r="S21" s="431" t="str">
        <f>IF(M21&lt;&gt;"",CEILING(P21*L11+R21*L11/60,0.1),"")</f>
        <v/>
      </c>
      <c r="T21" s="432"/>
      <c r="U21" s="396"/>
      <c r="V21" s="397"/>
      <c r="W21" s="398"/>
      <c r="X21" s="399"/>
      <c r="Y21" s="400"/>
      <c r="Z21" s="401" t="str">
        <f>IF(B21&lt;&gt;"",(VLOOKUP(B21,Waypoints!A2:AZ4996,AF5,FALSE)),"")</f>
        <v/>
      </c>
      <c r="AA21" s="402"/>
      <c r="AB21" s="403"/>
      <c r="AC21" s="100"/>
      <c r="AD21" s="104">
        <f>IF(B21&lt;&gt;"",ROUNDUP(M21/U21*60,0),0)</f>
        <v>0</v>
      </c>
      <c r="AE21" s="118">
        <f>IF(B21&lt;&gt;"",M21*U21,0)</f>
        <v>0</v>
      </c>
      <c r="AF21" s="102">
        <f>AD21+AL23</f>
        <v>0</v>
      </c>
      <c r="AG21" s="90">
        <f>IF(B21&lt;&gt;"",1,0)</f>
        <v>0</v>
      </c>
      <c r="AI21" s="90"/>
      <c r="AJ21" s="384" t="str">
        <f>IF(N(AH25)=0,"",IF(N(AH25)&gt;=Z11,"","PISTA TROPPO CORTA"))</f>
        <v/>
      </c>
      <c r="AK21" s="384"/>
      <c r="AL21" s="90"/>
      <c r="AM21" s="120">
        <f>W21</f>
        <v>0</v>
      </c>
      <c r="AN21" s="118" t="str">
        <f>M21</f>
        <v/>
      </c>
      <c r="AO21" s="121"/>
      <c r="AP21" s="122" t="str">
        <f>S21</f>
        <v/>
      </c>
      <c r="AQ21" s="122">
        <f>W21</f>
        <v>0</v>
      </c>
    </row>
    <row r="22" spans="1:44" ht="6.9" customHeight="1" x14ac:dyDescent="0.25">
      <c r="A22" s="168"/>
      <c r="B22" s="405"/>
      <c r="C22" s="381" t="s">
        <v>173</v>
      </c>
      <c r="D22" s="382"/>
      <c r="E22" s="382"/>
      <c r="F22" s="382"/>
      <c r="G22" s="382"/>
      <c r="H22" s="382"/>
      <c r="I22" s="382"/>
      <c r="J22" s="383"/>
      <c r="K22" s="412"/>
      <c r="L22" s="413"/>
      <c r="M22" s="385" t="s">
        <v>2332</v>
      </c>
      <c r="N22" s="386"/>
      <c r="O22" s="212" t="str">
        <f>G5</f>
        <v>Km</v>
      </c>
      <c r="P22" s="387" t="s">
        <v>422</v>
      </c>
      <c r="Q22" s="388"/>
      <c r="R22" s="389"/>
      <c r="S22" s="390" t="s">
        <v>422</v>
      </c>
      <c r="T22" s="391"/>
      <c r="U22" s="392" t="s">
        <v>2200</v>
      </c>
      <c r="V22" s="393"/>
      <c r="W22" s="372" t="s">
        <v>197</v>
      </c>
      <c r="X22" s="380"/>
      <c r="Y22" s="380"/>
      <c r="Z22" s="380"/>
      <c r="AA22" s="380"/>
      <c r="AB22" s="373"/>
      <c r="AC22" s="100"/>
      <c r="AD22" s="141"/>
      <c r="AE22" s="118"/>
      <c r="AF22" s="90"/>
      <c r="AG22" s="90"/>
      <c r="AI22" s="90"/>
      <c r="AJ22" s="119"/>
      <c r="AK22" s="119"/>
      <c r="AL22" s="119"/>
      <c r="AM22" s="123"/>
      <c r="AN22" s="121"/>
      <c r="AO22" s="121"/>
      <c r="AP22" s="140"/>
    </row>
    <row r="23" spans="1:44" ht="12" customHeight="1" thickBot="1" x14ac:dyDescent="0.3">
      <c r="A23" s="168"/>
      <c r="B23" s="405"/>
      <c r="C23" s="179" t="str">
        <f>IF(B21&lt;&gt;"",(VLOOKUP(B21,Waypoints!A2:AZ4996,7,FALSE)),"")</f>
        <v/>
      </c>
      <c r="D23" s="180" t="str">
        <f>IF(B21&lt;&gt;"",(VLOOKUP(B21,Waypoints!A2:AZ4996,8,FALSE)),"")</f>
        <v/>
      </c>
      <c r="E23" s="180" t="str">
        <f>IF(B21&lt;&gt;"",(VLOOKUP(B21,Waypoints!A2:AZ4996,9,FALSE)),"")</f>
        <v/>
      </c>
      <c r="F23" s="180" t="str">
        <f>IF(B21&lt;&gt;"",(VLOOKUP(B21,Waypoints!A2:AZ4996,10,FALSE)),"")</f>
        <v/>
      </c>
      <c r="G23" s="180" t="str">
        <f>IF(B21&lt;&gt;"",(VLOOKUP(B21,Waypoints!A2:AZ4996,11,FALSE)),"")</f>
        <v/>
      </c>
      <c r="H23" s="180" t="str">
        <f>IF(B21&lt;&gt;"",(VLOOKUP(B21,Waypoints!A2:AZ4996,12,FALSE)),"")</f>
        <v/>
      </c>
      <c r="I23" s="180" t="str">
        <f>IF(B21&lt;&gt;"",(VLOOKUP(B21,Waypoints!A2:AZ4996,13,FALSE)),"")</f>
        <v/>
      </c>
      <c r="J23" s="181" t="str">
        <f>IF(B21&lt;&gt;"",(VLOOKUP(B21,Waypoints!A2:AZ4996,14,FALSE)),"")</f>
        <v/>
      </c>
      <c r="K23" s="414"/>
      <c r="L23" s="415"/>
      <c r="M23" s="361" t="str">
        <f>IF(M21&lt;&gt;"",M21,"")</f>
        <v/>
      </c>
      <c r="N23" s="419"/>
      <c r="O23" s="362"/>
      <c r="P23" s="183" t="str">
        <f>IF(P21&lt;&gt;"",P21,"")</f>
        <v/>
      </c>
      <c r="Q23" s="182" t="s">
        <v>199</v>
      </c>
      <c r="R23" s="184" t="str">
        <f>IF(R21&lt;&gt;"",R21,"")</f>
        <v/>
      </c>
      <c r="S23" s="368" t="str">
        <f>IF(S21&lt;&gt;"",S21,"")</f>
        <v/>
      </c>
      <c r="T23" s="369"/>
      <c r="U23" s="370"/>
      <c r="V23" s="371"/>
      <c r="W23" s="374"/>
      <c r="X23" s="375"/>
      <c r="Y23" s="375"/>
      <c r="Z23" s="375"/>
      <c r="AA23" s="375"/>
      <c r="AB23" s="376"/>
      <c r="AC23" s="202"/>
      <c r="AD23" s="141"/>
      <c r="AE23" s="124"/>
      <c r="AF23" s="102"/>
      <c r="AG23" s="90"/>
      <c r="AI23" s="90"/>
      <c r="AJ23" s="90"/>
      <c r="AK23" s="90"/>
      <c r="AL23" s="90">
        <f>IF(U23&lt;&gt;"",10,0)</f>
        <v>0</v>
      </c>
      <c r="AM23" s="125"/>
      <c r="AN23" s="140"/>
      <c r="AO23" s="126">
        <f>U23</f>
        <v>0</v>
      </c>
      <c r="AP23" s="140"/>
    </row>
    <row r="24" spans="1:44" ht="6.9" customHeight="1" x14ac:dyDescent="0.25">
      <c r="A24" s="168"/>
      <c r="B24" s="405"/>
      <c r="C24" s="381" t="s">
        <v>2899</v>
      </c>
      <c r="D24" s="382"/>
      <c r="E24" s="382"/>
      <c r="F24" s="382"/>
      <c r="G24" s="382"/>
      <c r="H24" s="383"/>
      <c r="I24" s="377" t="s">
        <v>174</v>
      </c>
      <c r="J24" s="379"/>
      <c r="K24" s="372" t="s">
        <v>2588</v>
      </c>
      <c r="L24" s="373"/>
      <c r="M24" s="372" t="s">
        <v>423</v>
      </c>
      <c r="N24" s="380"/>
      <c r="O24" s="380"/>
      <c r="P24" s="380"/>
      <c r="Q24" s="373"/>
      <c r="R24" s="377" t="s">
        <v>195</v>
      </c>
      <c r="S24" s="378"/>
      <c r="T24" s="379"/>
      <c r="U24" s="372" t="s">
        <v>1291</v>
      </c>
      <c r="V24" s="373"/>
      <c r="W24" s="372" t="s">
        <v>123</v>
      </c>
      <c r="X24" s="380"/>
      <c r="Y24" s="380"/>
      <c r="Z24" s="380"/>
      <c r="AA24" s="380"/>
      <c r="AB24" s="373"/>
      <c r="AC24" s="201"/>
      <c r="AD24" s="141"/>
      <c r="AE24" s="124"/>
      <c r="AF24" s="102"/>
      <c r="AG24" s="90"/>
      <c r="AI24" s="90"/>
      <c r="AJ24" s="90"/>
      <c r="AK24" s="90"/>
      <c r="AL24" s="90"/>
      <c r="AM24" s="125"/>
      <c r="AN24" s="140"/>
      <c r="AO24" s="140"/>
      <c r="AP24" s="140"/>
    </row>
    <row r="25" spans="1:44" ht="12" customHeight="1" thickBot="1" x14ac:dyDescent="0.3">
      <c r="A25" s="168"/>
      <c r="B25" s="406"/>
      <c r="C25" s="420" t="str">
        <f>IF(B21&lt;&gt;"",(VLOOKUP(B21,Waypoints!A2:AZ4996,5,FALSE)),"")</f>
        <v/>
      </c>
      <c r="D25" s="421"/>
      <c r="E25" s="421"/>
      <c r="F25" s="421"/>
      <c r="G25" s="421"/>
      <c r="H25" s="422"/>
      <c r="I25" s="423" t="str">
        <f>IF(B21&lt;&gt;"",(VLOOKUP(B21,Waypoints!A2:AZ4996,4,FALSE)),"")</f>
        <v/>
      </c>
      <c r="J25" s="424"/>
      <c r="K25" s="423" t="str">
        <f>IF(B21&lt;&gt;"",(VLOOKUP(B21,Waypoints!A2:AZ4996,16,FALSE)),"")</f>
        <v/>
      </c>
      <c r="L25" s="424"/>
      <c r="M25" s="425" t="str">
        <f>IF(B21&lt;&gt;"",(VLOOKUP(B21,Waypoints!A2:AZ4996,17,FALSE)),"")</f>
        <v/>
      </c>
      <c r="N25" s="426"/>
      <c r="O25" s="426"/>
      <c r="P25" s="426"/>
      <c r="Q25" s="427"/>
      <c r="R25" s="358" t="str">
        <f>IF(B21&lt;&gt;"",(VLOOKUP(B21,Waypoints!A2:AZ4996,18,FALSE)),"")</f>
        <v/>
      </c>
      <c r="S25" s="359"/>
      <c r="T25" s="360"/>
      <c r="U25" s="361" t="str">
        <f>IF(B21&lt;&gt;"",(VLOOKUP(B21,Waypoints!A2:AZ4996,19,FALSE)),"")</f>
        <v/>
      </c>
      <c r="V25" s="362"/>
      <c r="W25" s="358" t="str">
        <f>IF(B21&lt;&gt;"",(VLOOKUP(B21,Waypoints!A2:AZ4996,20,FALSE)),"")</f>
        <v/>
      </c>
      <c r="X25" s="359"/>
      <c r="Y25" s="359"/>
      <c r="Z25" s="359"/>
      <c r="AA25" s="359"/>
      <c r="AB25" s="360"/>
      <c r="AC25" s="114"/>
      <c r="AD25" s="127"/>
      <c r="AE25" s="118"/>
      <c r="AF25" s="90"/>
      <c r="AG25" s="90"/>
      <c r="AH25" s="90" t="str">
        <f>IF(M25&lt;&gt;"",AJ25,"")</f>
        <v/>
      </c>
      <c r="AI25" s="90">
        <f>LEN(M25)</f>
        <v>0</v>
      </c>
      <c r="AJ25" s="90" t="e">
        <f>VALUE(MID(M25,1,AI25-3))</f>
        <v>#VALUE!</v>
      </c>
      <c r="AK25" s="90"/>
      <c r="AL25" s="90"/>
      <c r="AM25" s="142"/>
      <c r="AN25" s="140"/>
      <c r="AO25" s="140"/>
      <c r="AP25" s="140"/>
      <c r="AR25" s="92"/>
    </row>
    <row r="26" spans="1:44" ht="3" customHeight="1" thickBot="1" x14ac:dyDescent="0.3">
      <c r="A26" s="168"/>
      <c r="B26" s="190"/>
      <c r="C26" s="191"/>
      <c r="D26" s="191"/>
      <c r="E26" s="191"/>
      <c r="F26" s="191"/>
      <c r="G26" s="191"/>
      <c r="H26" s="191"/>
      <c r="I26" s="191"/>
      <c r="J26" s="191"/>
      <c r="K26" s="192"/>
      <c r="L26" s="193"/>
      <c r="M26" s="194"/>
      <c r="N26" s="194"/>
      <c r="O26" s="194"/>
      <c r="P26" s="195"/>
      <c r="Q26" s="195"/>
      <c r="R26" s="195"/>
      <c r="S26" s="196"/>
      <c r="T26" s="196"/>
      <c r="U26" s="194"/>
      <c r="V26" s="194"/>
      <c r="W26" s="194"/>
      <c r="X26" s="194"/>
      <c r="Y26" s="194"/>
      <c r="Z26" s="197"/>
      <c r="AA26" s="197"/>
      <c r="AB26" s="197"/>
      <c r="AC26" s="115"/>
      <c r="AD26" s="141"/>
      <c r="AE26" s="118"/>
      <c r="AF26" s="90"/>
      <c r="AG26" s="90"/>
      <c r="AI26" s="90"/>
      <c r="AJ26" s="90"/>
      <c r="AK26" s="90"/>
      <c r="AL26" s="90"/>
      <c r="AM26" s="128"/>
      <c r="AN26" s="140"/>
      <c r="AO26" s="140"/>
      <c r="AP26" s="140"/>
    </row>
    <row r="27" spans="1:44" ht="6.9" customHeight="1" x14ac:dyDescent="0.25">
      <c r="A27" s="168"/>
      <c r="B27" s="209" t="s">
        <v>1927</v>
      </c>
      <c r="C27" s="209" t="s">
        <v>419</v>
      </c>
      <c r="D27" s="433" t="s">
        <v>2900</v>
      </c>
      <c r="E27" s="434"/>
      <c r="F27" s="434"/>
      <c r="G27" s="434"/>
      <c r="H27" s="434"/>
      <c r="I27" s="434"/>
      <c r="J27" s="435"/>
      <c r="K27" s="363" t="s">
        <v>420</v>
      </c>
      <c r="L27" s="365"/>
      <c r="M27" s="363" t="s">
        <v>2331</v>
      </c>
      <c r="N27" s="364"/>
      <c r="O27" s="222" t="str">
        <f>G5</f>
        <v>Km</v>
      </c>
      <c r="P27" s="363" t="s">
        <v>1306</v>
      </c>
      <c r="Q27" s="364"/>
      <c r="R27" s="365"/>
      <c r="S27" s="366" t="s">
        <v>421</v>
      </c>
      <c r="T27" s="367"/>
      <c r="U27" s="211" t="s">
        <v>2333</v>
      </c>
      <c r="V27" s="210" t="str">
        <f>Z5</f>
        <v>Km/h</v>
      </c>
      <c r="W27" s="366" t="s">
        <v>2330</v>
      </c>
      <c r="X27" s="428"/>
      <c r="Y27" s="367"/>
      <c r="Z27" s="429" t="s">
        <v>196</v>
      </c>
      <c r="AA27" s="430"/>
      <c r="AB27" s="222" t="str">
        <f>N5</f>
        <v>Ft</v>
      </c>
      <c r="AC27" s="100"/>
      <c r="AD27" s="141"/>
      <c r="AE27" s="90"/>
      <c r="AF27" s="90"/>
      <c r="AG27" s="90"/>
      <c r="AI27" s="90"/>
      <c r="AJ27" s="90"/>
      <c r="AK27" s="90"/>
      <c r="AL27" s="90"/>
      <c r="AM27" s="128"/>
      <c r="AN27" s="140"/>
      <c r="AO27" s="140"/>
      <c r="AP27" s="140"/>
    </row>
    <row r="28" spans="1:44" ht="12" customHeight="1" thickBot="1" x14ac:dyDescent="0.3">
      <c r="A28" s="168"/>
      <c r="B28" s="436"/>
      <c r="C28" s="189" t="str">
        <f>IF(B28&lt;&gt;"",(VLOOKUP(B28,Waypoints!A2:AZ4996,2,FALSE)),"")</f>
        <v/>
      </c>
      <c r="D28" s="407" t="str">
        <f>IF(AND(B28&lt;&gt;"",N(AH32&gt;=Z11)),(VLOOKUP(B28,Waypoints!A2:AZ4996,6,FALSE)),AJ28)</f>
        <v/>
      </c>
      <c r="E28" s="408"/>
      <c r="F28" s="408"/>
      <c r="G28" s="408"/>
      <c r="H28" s="408"/>
      <c r="I28" s="408"/>
      <c r="J28" s="409"/>
      <c r="K28" s="410" t="str">
        <f>IF(B28&lt;&gt;"",Calcoli!J5,"")</f>
        <v/>
      </c>
      <c r="L28" s="411"/>
      <c r="M28" s="416" t="str">
        <f>IF(B28&lt;&gt;"",Calcoli!K5/AE5,"")</f>
        <v/>
      </c>
      <c r="N28" s="417"/>
      <c r="O28" s="418"/>
      <c r="P28" s="311" t="str">
        <f>IF(M28&lt;&gt;"",TRUNC((AD28+AL30)/60),"")</f>
        <v/>
      </c>
      <c r="Q28" s="220" t="s">
        <v>199</v>
      </c>
      <c r="R28" s="312" t="str">
        <f>IF(M28&lt;&gt;"",AD28-TRUNC(P28)*60,"")</f>
        <v/>
      </c>
      <c r="S28" s="431" t="str">
        <f>IF(M28&lt;&gt;"",CEILING(P28*L11+R28*L11/60,0.1),"")</f>
        <v/>
      </c>
      <c r="T28" s="432"/>
      <c r="U28" s="396"/>
      <c r="V28" s="397"/>
      <c r="W28" s="398"/>
      <c r="X28" s="399"/>
      <c r="Y28" s="400"/>
      <c r="Z28" s="401" t="str">
        <f>IF(B28&lt;&gt;"",(VLOOKUP(B28,Waypoints!A2:AZ4996,AF5,FALSE)),"")</f>
        <v/>
      </c>
      <c r="AA28" s="402"/>
      <c r="AB28" s="403"/>
      <c r="AC28" s="100"/>
      <c r="AD28" s="104">
        <f>IF(B28&lt;&gt;"",ROUNDUP(M28/U28*60,0),0)</f>
        <v>0</v>
      </c>
      <c r="AE28" s="118">
        <f>IF(B28&lt;&gt;"",M28*U28,0)</f>
        <v>0</v>
      </c>
      <c r="AF28" s="102">
        <f>AF21+AD28+AL30</f>
        <v>0</v>
      </c>
      <c r="AG28" s="90">
        <f>IF(B28&lt;&gt;"",1,0)</f>
        <v>0</v>
      </c>
      <c r="AH28" s="129"/>
      <c r="AI28" s="129"/>
      <c r="AJ28" s="384" t="str">
        <f>IF(N(AH32)=0,"",IF(N(AH32)&gt;=Z11,"","PISTA TROPPO CORTA"))</f>
        <v/>
      </c>
      <c r="AK28" s="384"/>
      <c r="AL28" s="90"/>
      <c r="AM28" s="120">
        <f>W28</f>
        <v>0</v>
      </c>
      <c r="AN28" s="118" t="str">
        <f>M28</f>
        <v/>
      </c>
      <c r="AO28" s="140"/>
      <c r="AP28" s="122" t="str">
        <f>S28</f>
        <v/>
      </c>
      <c r="AQ28" s="122">
        <f>W28</f>
        <v>0</v>
      </c>
    </row>
    <row r="29" spans="1:44" ht="6.9" customHeight="1" x14ac:dyDescent="0.25">
      <c r="A29" s="168"/>
      <c r="B29" s="405"/>
      <c r="C29" s="381" t="s">
        <v>173</v>
      </c>
      <c r="D29" s="382"/>
      <c r="E29" s="382"/>
      <c r="F29" s="382"/>
      <c r="G29" s="382"/>
      <c r="H29" s="382"/>
      <c r="I29" s="382"/>
      <c r="J29" s="383"/>
      <c r="K29" s="412"/>
      <c r="L29" s="413"/>
      <c r="M29" s="385" t="s">
        <v>2332</v>
      </c>
      <c r="N29" s="386"/>
      <c r="O29" s="212" t="str">
        <f>G5</f>
        <v>Km</v>
      </c>
      <c r="P29" s="387" t="s">
        <v>422</v>
      </c>
      <c r="Q29" s="388"/>
      <c r="R29" s="389"/>
      <c r="S29" s="390" t="s">
        <v>422</v>
      </c>
      <c r="T29" s="391"/>
      <c r="U29" s="392" t="s">
        <v>2200</v>
      </c>
      <c r="V29" s="393"/>
      <c r="W29" s="372" t="s">
        <v>197</v>
      </c>
      <c r="X29" s="380"/>
      <c r="Y29" s="380"/>
      <c r="Z29" s="380"/>
      <c r="AA29" s="380"/>
      <c r="AB29" s="373"/>
      <c r="AC29" s="100"/>
      <c r="AD29" s="141"/>
      <c r="AE29" s="118"/>
      <c r="AF29" s="90"/>
      <c r="AG29" s="90"/>
      <c r="AI29" s="90"/>
      <c r="AJ29" s="119"/>
      <c r="AK29" s="119"/>
      <c r="AL29" s="119"/>
      <c r="AM29" s="123"/>
      <c r="AN29" s="121"/>
      <c r="AO29" s="121"/>
      <c r="AP29" s="140"/>
    </row>
    <row r="30" spans="1:44" ht="12" customHeight="1" thickBot="1" x14ac:dyDescent="0.3">
      <c r="A30" s="188"/>
      <c r="B30" s="405"/>
      <c r="C30" s="179" t="str">
        <f>IF(B28&lt;&gt;"",(VLOOKUP(B28,Waypoints!A2:AZ4996,7,FALSE)),"")</f>
        <v/>
      </c>
      <c r="D30" s="180" t="str">
        <f>IF(B28&lt;&gt;"",(VLOOKUP(B28,Waypoints!A2:AZ4996,8,FALSE)),"")</f>
        <v/>
      </c>
      <c r="E30" s="180" t="str">
        <f>IF(B28&lt;&gt;"",(VLOOKUP(B28,Waypoints!A2:AZ4996,9,FALSE)),"")</f>
        <v/>
      </c>
      <c r="F30" s="180" t="str">
        <f>IF(B28&lt;&gt;"",(VLOOKUP(B28,Waypoints!A2:AZ4996,10,FALSE)),"")</f>
        <v/>
      </c>
      <c r="G30" s="180" t="str">
        <f>IF(B28&lt;&gt;"",(VLOOKUP(B28,Waypoints!A2:AZ4996,11,FALSE)),"")</f>
        <v/>
      </c>
      <c r="H30" s="180" t="str">
        <f>IF(B28&lt;&gt;"",(VLOOKUP(B28,Waypoints!A2:AZ4996,12,FALSE)),"")</f>
        <v/>
      </c>
      <c r="I30" s="180" t="str">
        <f>IF(B28&lt;&gt;"",(VLOOKUP(B28,Waypoints!A2:AZ4996,13,FALSE)),"")</f>
        <v/>
      </c>
      <c r="J30" s="181" t="str">
        <f>IF(B28&lt;&gt;"",(VLOOKUP(B28,Waypoints!A2:AZ4996,14,FALSE)),"")</f>
        <v/>
      </c>
      <c r="K30" s="414"/>
      <c r="L30" s="415"/>
      <c r="M30" s="361" t="str">
        <f>IF(M28&lt;&gt;"",M28+M23,"")</f>
        <v/>
      </c>
      <c r="N30" s="419"/>
      <c r="O30" s="362"/>
      <c r="P30" s="183" t="str">
        <f>IF(P28&lt;&gt;"",TRUNC(AF28/60),"")</f>
        <v/>
      </c>
      <c r="Q30" s="182" t="s">
        <v>199</v>
      </c>
      <c r="R30" s="184" t="str">
        <f>IF(R28&lt;&gt;"",AF28-TRUNC(P30)*60,"")</f>
        <v/>
      </c>
      <c r="S30" s="368" t="str">
        <f>IF(S28&lt;&gt;"",S28+S23,"")</f>
        <v/>
      </c>
      <c r="T30" s="369"/>
      <c r="U30" s="370"/>
      <c r="V30" s="371"/>
      <c r="W30" s="374"/>
      <c r="X30" s="375"/>
      <c r="Y30" s="375"/>
      <c r="Z30" s="375"/>
      <c r="AA30" s="375"/>
      <c r="AB30" s="376"/>
      <c r="AC30" s="92"/>
      <c r="AD30" s="141"/>
      <c r="AE30" s="124"/>
      <c r="AF30" s="102"/>
      <c r="AG30" s="90"/>
      <c r="AH30" s="119"/>
      <c r="AI30" s="90"/>
      <c r="AJ30" s="90"/>
      <c r="AK30" s="90"/>
      <c r="AL30" s="90">
        <f>IF(U30&lt;&gt;"",10,0)</f>
        <v>0</v>
      </c>
      <c r="AM30" s="142"/>
      <c r="AN30" s="140"/>
      <c r="AO30" s="126">
        <f>U30</f>
        <v>0</v>
      </c>
      <c r="AP30" s="140"/>
    </row>
    <row r="31" spans="1:44" ht="6.9" customHeight="1" x14ac:dyDescent="0.25">
      <c r="A31" s="188"/>
      <c r="B31" s="405"/>
      <c r="C31" s="381" t="s">
        <v>2899</v>
      </c>
      <c r="D31" s="382"/>
      <c r="E31" s="382"/>
      <c r="F31" s="382"/>
      <c r="G31" s="382"/>
      <c r="H31" s="383"/>
      <c r="I31" s="377" t="s">
        <v>174</v>
      </c>
      <c r="J31" s="379"/>
      <c r="K31" s="372" t="s">
        <v>2588</v>
      </c>
      <c r="L31" s="373"/>
      <c r="M31" s="372" t="s">
        <v>423</v>
      </c>
      <c r="N31" s="380"/>
      <c r="O31" s="380"/>
      <c r="P31" s="380"/>
      <c r="Q31" s="373"/>
      <c r="R31" s="377" t="s">
        <v>195</v>
      </c>
      <c r="S31" s="378"/>
      <c r="T31" s="379"/>
      <c r="U31" s="372" t="s">
        <v>1291</v>
      </c>
      <c r="V31" s="373"/>
      <c r="W31" s="372" t="s">
        <v>123</v>
      </c>
      <c r="X31" s="380"/>
      <c r="Y31" s="380"/>
      <c r="Z31" s="380"/>
      <c r="AA31" s="380"/>
      <c r="AB31" s="373"/>
      <c r="AC31" s="92"/>
      <c r="AD31" s="141"/>
      <c r="AE31" s="124"/>
      <c r="AF31" s="102"/>
      <c r="AG31" s="90"/>
      <c r="AI31" s="90"/>
      <c r="AJ31" s="90"/>
      <c r="AK31" s="90"/>
      <c r="AL31" s="90"/>
      <c r="AM31" s="125"/>
      <c r="AN31" s="140"/>
      <c r="AO31" s="140"/>
      <c r="AP31" s="140"/>
    </row>
    <row r="32" spans="1:44" ht="12" customHeight="1" thickBot="1" x14ac:dyDescent="0.3">
      <c r="A32" s="188"/>
      <c r="B32" s="406"/>
      <c r="C32" s="420" t="str">
        <f>IF(B28&lt;&gt;"",(VLOOKUP(B28,Waypoints!A2:AZ4996,5,FALSE)),"")</f>
        <v/>
      </c>
      <c r="D32" s="421"/>
      <c r="E32" s="421"/>
      <c r="F32" s="421"/>
      <c r="G32" s="421"/>
      <c r="H32" s="422"/>
      <c r="I32" s="423" t="str">
        <f>IF(B28&lt;&gt;"",(VLOOKUP(B28,Waypoints!A2:AZ4996,4,FALSE)),"")</f>
        <v/>
      </c>
      <c r="J32" s="424"/>
      <c r="K32" s="423" t="str">
        <f>IF(B28&lt;&gt;"",(VLOOKUP(B28,Waypoints!A2:AZ4996,16,FALSE)),"")</f>
        <v/>
      </c>
      <c r="L32" s="424"/>
      <c r="M32" s="425" t="str">
        <f>IF(B28&lt;&gt;"",(VLOOKUP(B28,Waypoints!A2:AZ4996,17,FALSE)),"")</f>
        <v/>
      </c>
      <c r="N32" s="426"/>
      <c r="O32" s="426"/>
      <c r="P32" s="426"/>
      <c r="Q32" s="427"/>
      <c r="R32" s="358" t="str">
        <f>IF(B28&lt;&gt;"",(VLOOKUP(B28,Waypoints!A2:AZ4996,18,FALSE)),"")</f>
        <v/>
      </c>
      <c r="S32" s="359"/>
      <c r="T32" s="360"/>
      <c r="U32" s="361" t="str">
        <f>IF(B28&lt;&gt;"",(VLOOKUP(B28,Waypoints!A2:AZ4996,19,FALSE)),"")</f>
        <v/>
      </c>
      <c r="V32" s="362"/>
      <c r="W32" s="358" t="str">
        <f>IF(B28&lt;&gt;"",(VLOOKUP(B28,Waypoints!A2:AZ4996,20,FALSE)),"")</f>
        <v/>
      </c>
      <c r="X32" s="359"/>
      <c r="Y32" s="359"/>
      <c r="Z32" s="359"/>
      <c r="AA32" s="359"/>
      <c r="AB32" s="360"/>
      <c r="AC32" s="92"/>
      <c r="AD32" s="127"/>
      <c r="AE32" s="118"/>
      <c r="AF32" s="90"/>
      <c r="AG32" s="90"/>
      <c r="AH32" s="90" t="str">
        <f>IF(M32&lt;&gt;"",AJ32,"")</f>
        <v/>
      </c>
      <c r="AI32" s="90">
        <f>LEN(M32)</f>
        <v>0</v>
      </c>
      <c r="AJ32" s="90" t="e">
        <f>VALUE(MID(M32,1,AI32-3))</f>
        <v>#VALUE!</v>
      </c>
      <c r="AK32" s="90"/>
      <c r="AL32" s="90"/>
      <c r="AM32" s="142"/>
      <c r="AN32" s="140"/>
      <c r="AO32" s="140"/>
      <c r="AP32" s="140"/>
      <c r="AR32" s="92"/>
    </row>
    <row r="33" spans="1:44" ht="3" customHeight="1" thickBot="1" x14ac:dyDescent="0.3">
      <c r="A33" s="188"/>
      <c r="B33" s="190"/>
      <c r="C33" s="191"/>
      <c r="D33" s="191"/>
      <c r="E33" s="191"/>
      <c r="F33" s="191"/>
      <c r="G33" s="191"/>
      <c r="H33" s="191"/>
      <c r="I33" s="191"/>
      <c r="J33" s="191"/>
      <c r="K33" s="192"/>
      <c r="L33" s="193"/>
      <c r="M33" s="194"/>
      <c r="N33" s="194"/>
      <c r="O33" s="194"/>
      <c r="P33" s="195"/>
      <c r="Q33" s="195"/>
      <c r="R33" s="195"/>
      <c r="S33" s="196"/>
      <c r="T33" s="196"/>
      <c r="U33" s="194"/>
      <c r="V33" s="194"/>
      <c r="W33" s="194"/>
      <c r="X33" s="194"/>
      <c r="Y33" s="194"/>
      <c r="Z33" s="197"/>
      <c r="AA33" s="197"/>
      <c r="AB33" s="197"/>
      <c r="AC33" s="92"/>
      <c r="AD33" s="141"/>
      <c r="AE33" s="118"/>
      <c r="AF33" s="90"/>
      <c r="AG33" s="90"/>
      <c r="AI33" s="90"/>
      <c r="AJ33" s="90"/>
      <c r="AK33" s="90"/>
      <c r="AL33" s="90"/>
      <c r="AM33" s="128"/>
      <c r="AN33" s="140"/>
      <c r="AO33" s="140"/>
      <c r="AP33" s="140"/>
    </row>
    <row r="34" spans="1:44" ht="6.9" customHeight="1" x14ac:dyDescent="0.25">
      <c r="A34" s="188"/>
      <c r="B34" s="209" t="s">
        <v>1928</v>
      </c>
      <c r="C34" s="209" t="s">
        <v>419</v>
      </c>
      <c r="D34" s="433" t="s">
        <v>2900</v>
      </c>
      <c r="E34" s="434"/>
      <c r="F34" s="434"/>
      <c r="G34" s="434"/>
      <c r="H34" s="434"/>
      <c r="I34" s="434"/>
      <c r="J34" s="435"/>
      <c r="K34" s="363" t="s">
        <v>420</v>
      </c>
      <c r="L34" s="365"/>
      <c r="M34" s="363" t="s">
        <v>2331</v>
      </c>
      <c r="N34" s="364"/>
      <c r="O34" s="222" t="str">
        <f>G5</f>
        <v>Km</v>
      </c>
      <c r="P34" s="363" t="s">
        <v>1306</v>
      </c>
      <c r="Q34" s="364"/>
      <c r="R34" s="365"/>
      <c r="S34" s="366" t="s">
        <v>421</v>
      </c>
      <c r="T34" s="367"/>
      <c r="U34" s="211" t="s">
        <v>2333</v>
      </c>
      <c r="V34" s="210" t="str">
        <f>Z5</f>
        <v>Km/h</v>
      </c>
      <c r="W34" s="366" t="s">
        <v>2330</v>
      </c>
      <c r="X34" s="428"/>
      <c r="Y34" s="367"/>
      <c r="Z34" s="429" t="s">
        <v>196</v>
      </c>
      <c r="AA34" s="430"/>
      <c r="AB34" s="222" t="str">
        <f>N5</f>
        <v>Ft</v>
      </c>
      <c r="AC34" s="92"/>
      <c r="AD34" s="141"/>
      <c r="AE34" s="90"/>
      <c r="AF34" s="90"/>
      <c r="AG34" s="90"/>
      <c r="AI34" s="90"/>
      <c r="AJ34" s="90"/>
      <c r="AK34" s="90"/>
      <c r="AL34" s="90"/>
      <c r="AM34" s="128"/>
      <c r="AN34" s="140"/>
      <c r="AO34" s="140"/>
      <c r="AP34" s="140"/>
    </row>
    <row r="35" spans="1:44" ht="12" customHeight="1" thickBot="1" x14ac:dyDescent="0.3">
      <c r="A35" s="188"/>
      <c r="B35" s="436"/>
      <c r="C35" s="189" t="str">
        <f>IF(B35&lt;&gt;"",(VLOOKUP(B35,Waypoints!A2:AZ4996,2,FALSE)),"")</f>
        <v/>
      </c>
      <c r="D35" s="407" t="str">
        <f>IF(AND(B35&lt;&gt;"",N(AH39&gt;=Z11)),(VLOOKUP(B35,Waypoints!A2:AZ4996,6,FALSE)),AJ35)</f>
        <v/>
      </c>
      <c r="E35" s="408"/>
      <c r="F35" s="408"/>
      <c r="G35" s="408"/>
      <c r="H35" s="408"/>
      <c r="I35" s="408"/>
      <c r="J35" s="409"/>
      <c r="K35" s="410" t="str">
        <f>IF(B35&lt;&gt;"",Calcoli!J6,"")</f>
        <v/>
      </c>
      <c r="L35" s="411"/>
      <c r="M35" s="416" t="str">
        <f>IF(B35&lt;&gt;"",Calcoli!K6/AE5,"")</f>
        <v/>
      </c>
      <c r="N35" s="417"/>
      <c r="O35" s="418"/>
      <c r="P35" s="311" t="str">
        <f>IF(M35&lt;&gt;"",TRUNC((AD35+AL37)/60),"")</f>
        <v/>
      </c>
      <c r="Q35" s="220" t="s">
        <v>199</v>
      </c>
      <c r="R35" s="312" t="str">
        <f>IF(M35&lt;&gt;"",AD35-TRUNC(P35)*60,"")</f>
        <v/>
      </c>
      <c r="S35" s="431" t="str">
        <f>IF(M35&lt;&gt;"",CEILING(P35*L11+R35*L11/60,0.1),"")</f>
        <v/>
      </c>
      <c r="T35" s="432"/>
      <c r="U35" s="396"/>
      <c r="V35" s="397"/>
      <c r="W35" s="398"/>
      <c r="X35" s="399"/>
      <c r="Y35" s="400"/>
      <c r="Z35" s="401" t="str">
        <f>IF(B35&lt;&gt;"",(VLOOKUP(B35,Waypoints!A2:AZ4996,AF5,FALSE)),"")</f>
        <v/>
      </c>
      <c r="AA35" s="402"/>
      <c r="AB35" s="403"/>
      <c r="AC35" s="127"/>
      <c r="AD35" s="104">
        <f>IF(B35&lt;&gt;"",ROUNDUP(M35/U35*60,0),0)</f>
        <v>0</v>
      </c>
      <c r="AE35" s="118">
        <f>IF(B35&lt;&gt;"",M35*U35,0)</f>
        <v>0</v>
      </c>
      <c r="AF35" s="102">
        <f>AF28+AD35+AL37</f>
        <v>0</v>
      </c>
      <c r="AG35" s="90">
        <f>IF(B35&lt;&gt;"",1,0)</f>
        <v>0</v>
      </c>
      <c r="AI35" s="90"/>
      <c r="AJ35" s="384" t="str">
        <f>IF(N(AH39)=0,"",IF(N(AH39)&gt;=Z11,"","PISTA TROPPO CORTA"))</f>
        <v/>
      </c>
      <c r="AK35" s="384"/>
      <c r="AL35" s="90"/>
      <c r="AM35" s="120">
        <f>W35</f>
        <v>0</v>
      </c>
      <c r="AN35" s="118" t="str">
        <f>M35</f>
        <v/>
      </c>
      <c r="AO35" s="140"/>
      <c r="AP35" s="122" t="str">
        <f>S35</f>
        <v/>
      </c>
      <c r="AQ35" s="122">
        <f>W35</f>
        <v>0</v>
      </c>
    </row>
    <row r="36" spans="1:44" ht="6.9" customHeight="1" x14ac:dyDescent="0.25">
      <c r="A36" s="188"/>
      <c r="B36" s="405"/>
      <c r="C36" s="381" t="s">
        <v>173</v>
      </c>
      <c r="D36" s="382"/>
      <c r="E36" s="382"/>
      <c r="F36" s="382"/>
      <c r="G36" s="382"/>
      <c r="H36" s="382"/>
      <c r="I36" s="382"/>
      <c r="J36" s="383"/>
      <c r="K36" s="412"/>
      <c r="L36" s="413"/>
      <c r="M36" s="385" t="s">
        <v>2332</v>
      </c>
      <c r="N36" s="386"/>
      <c r="O36" s="212" t="str">
        <f>G5</f>
        <v>Km</v>
      </c>
      <c r="P36" s="387" t="s">
        <v>422</v>
      </c>
      <c r="Q36" s="388"/>
      <c r="R36" s="389"/>
      <c r="S36" s="390" t="s">
        <v>422</v>
      </c>
      <c r="T36" s="391"/>
      <c r="U36" s="392" t="s">
        <v>2200</v>
      </c>
      <c r="V36" s="393"/>
      <c r="W36" s="372" t="s">
        <v>197</v>
      </c>
      <c r="X36" s="380"/>
      <c r="Y36" s="380"/>
      <c r="Z36" s="380"/>
      <c r="AA36" s="380"/>
      <c r="AB36" s="373"/>
      <c r="AC36" s="92"/>
      <c r="AD36" s="141"/>
      <c r="AE36" s="118"/>
      <c r="AF36" s="90"/>
      <c r="AG36" s="90"/>
      <c r="AI36" s="90"/>
      <c r="AJ36" s="119"/>
      <c r="AK36" s="119"/>
      <c r="AL36" s="119"/>
      <c r="AM36" s="123"/>
      <c r="AN36" s="121"/>
      <c r="AO36" s="121"/>
      <c r="AP36" s="140"/>
    </row>
    <row r="37" spans="1:44" ht="12" customHeight="1" thickBot="1" x14ac:dyDescent="0.3">
      <c r="A37" s="188"/>
      <c r="B37" s="405"/>
      <c r="C37" s="179" t="str">
        <f>IF(B35&lt;&gt;"",(VLOOKUP(B35,Waypoints!A2:AZ4996,7,FALSE)),"")</f>
        <v/>
      </c>
      <c r="D37" s="180" t="str">
        <f>IF(B35&lt;&gt;"",(VLOOKUP(B35,Waypoints!A2:AZ4996,8,FALSE)),"")</f>
        <v/>
      </c>
      <c r="E37" s="180" t="str">
        <f>IF(B35&lt;&gt;"",(VLOOKUP(B35,Waypoints!A2:AZ4996,9,FALSE)),"")</f>
        <v/>
      </c>
      <c r="F37" s="180" t="str">
        <f>IF(B35&lt;&gt;"",(VLOOKUP(B35,Waypoints!A2:AZ4996,10,FALSE)),"")</f>
        <v/>
      </c>
      <c r="G37" s="180" t="str">
        <f>IF(B35&lt;&gt;"",(VLOOKUP(B35,Waypoints!A2:AZ4996,11,FALSE)),"")</f>
        <v/>
      </c>
      <c r="H37" s="180" t="str">
        <f>IF(B35&lt;&gt;"",(VLOOKUP(B35,Waypoints!A2:AZ4996,12,FALSE)),"")</f>
        <v/>
      </c>
      <c r="I37" s="180" t="str">
        <f>IF(B35&lt;&gt;"",(VLOOKUP(B35,Waypoints!A2:AZ4996,13,FALSE)),"")</f>
        <v/>
      </c>
      <c r="J37" s="181" t="str">
        <f>IF(B35&lt;&gt;"",(VLOOKUP(B35,Waypoints!A2:AZ4996,14,FALSE)),"")</f>
        <v/>
      </c>
      <c r="K37" s="414"/>
      <c r="L37" s="415"/>
      <c r="M37" s="361" t="str">
        <f>IF(M35&lt;&gt;"",M35+M30,"")</f>
        <v/>
      </c>
      <c r="N37" s="419"/>
      <c r="O37" s="362"/>
      <c r="P37" s="183" t="str">
        <f>IF(P35&lt;&gt;"",TRUNC(AF35/60),"")</f>
        <v/>
      </c>
      <c r="Q37" s="182" t="s">
        <v>199</v>
      </c>
      <c r="R37" s="184" t="str">
        <f>IF(R35&lt;&gt;"",AF35-TRUNC(P37)*60,"")</f>
        <v/>
      </c>
      <c r="S37" s="368" t="str">
        <f>IF(S35&lt;&gt;"",S35+S30,"")</f>
        <v/>
      </c>
      <c r="T37" s="369"/>
      <c r="U37" s="370"/>
      <c r="V37" s="371"/>
      <c r="W37" s="374"/>
      <c r="X37" s="375"/>
      <c r="Y37" s="375"/>
      <c r="Z37" s="375"/>
      <c r="AA37" s="375"/>
      <c r="AB37" s="376"/>
      <c r="AC37" s="92"/>
      <c r="AD37" s="141"/>
      <c r="AE37" s="124"/>
      <c r="AF37" s="102"/>
      <c r="AG37" s="90"/>
      <c r="AI37" s="90"/>
      <c r="AJ37" s="90"/>
      <c r="AK37" s="90"/>
      <c r="AL37" s="90">
        <f>IF(U37&lt;&gt;"",10,0)</f>
        <v>0</v>
      </c>
      <c r="AM37" s="142"/>
      <c r="AN37" s="140"/>
      <c r="AO37" s="126">
        <f>U37</f>
        <v>0</v>
      </c>
      <c r="AP37" s="140"/>
    </row>
    <row r="38" spans="1:44" ht="6.9" customHeight="1" x14ac:dyDescent="0.25">
      <c r="A38" s="188"/>
      <c r="B38" s="405"/>
      <c r="C38" s="381" t="s">
        <v>2899</v>
      </c>
      <c r="D38" s="382"/>
      <c r="E38" s="382"/>
      <c r="F38" s="382"/>
      <c r="G38" s="382"/>
      <c r="H38" s="383"/>
      <c r="I38" s="377" t="s">
        <v>174</v>
      </c>
      <c r="J38" s="379"/>
      <c r="K38" s="372" t="s">
        <v>2588</v>
      </c>
      <c r="L38" s="373"/>
      <c r="M38" s="372" t="s">
        <v>423</v>
      </c>
      <c r="N38" s="380"/>
      <c r="O38" s="380"/>
      <c r="P38" s="380"/>
      <c r="Q38" s="373"/>
      <c r="R38" s="377" t="s">
        <v>195</v>
      </c>
      <c r="S38" s="378"/>
      <c r="T38" s="379"/>
      <c r="U38" s="372" t="s">
        <v>1291</v>
      </c>
      <c r="V38" s="373"/>
      <c r="W38" s="372" t="s">
        <v>123</v>
      </c>
      <c r="X38" s="380"/>
      <c r="Y38" s="380"/>
      <c r="Z38" s="380"/>
      <c r="AA38" s="380"/>
      <c r="AB38" s="373"/>
      <c r="AC38" s="92"/>
      <c r="AD38" s="141"/>
      <c r="AE38" s="124"/>
      <c r="AF38" s="102"/>
      <c r="AG38" s="90"/>
      <c r="AI38" s="90"/>
      <c r="AJ38" s="90"/>
      <c r="AK38" s="90"/>
      <c r="AL38" s="90"/>
      <c r="AM38" s="125"/>
      <c r="AN38" s="140"/>
      <c r="AO38" s="140"/>
      <c r="AP38" s="140"/>
    </row>
    <row r="39" spans="1:44" ht="12" customHeight="1" thickBot="1" x14ac:dyDescent="0.3">
      <c r="A39" s="188"/>
      <c r="B39" s="406"/>
      <c r="C39" s="420" t="str">
        <f>IF(B35&lt;&gt;"",(VLOOKUP(B35,Waypoints!A2:AZ4996,5,FALSE)),"")</f>
        <v/>
      </c>
      <c r="D39" s="421"/>
      <c r="E39" s="421"/>
      <c r="F39" s="421"/>
      <c r="G39" s="421"/>
      <c r="H39" s="422"/>
      <c r="I39" s="423" t="str">
        <f>IF(B35&lt;&gt;"",(VLOOKUP(B35,Waypoints!A2:AZ4996,4,FALSE)),"")</f>
        <v/>
      </c>
      <c r="J39" s="424"/>
      <c r="K39" s="423" t="str">
        <f>IF(B35&lt;&gt;"",(VLOOKUP(B35,Waypoints!A2:AZ4996,16,FALSE)),"")</f>
        <v/>
      </c>
      <c r="L39" s="424"/>
      <c r="M39" s="425" t="str">
        <f>IF(B35&lt;&gt;"",(VLOOKUP(B35,Waypoints!A2:AZ4996,17,FALSE)),"")</f>
        <v/>
      </c>
      <c r="N39" s="426"/>
      <c r="O39" s="426"/>
      <c r="P39" s="426"/>
      <c r="Q39" s="427"/>
      <c r="R39" s="358" t="str">
        <f>IF(B35&lt;&gt;"",(VLOOKUP(B35,Waypoints!A2:AZ4996,18,FALSE)),"")</f>
        <v/>
      </c>
      <c r="S39" s="359"/>
      <c r="T39" s="360"/>
      <c r="U39" s="361" t="str">
        <f>IF(B35&lt;&gt;"",(VLOOKUP(B35,Waypoints!A2:AZ4996,19,FALSE)),"")</f>
        <v/>
      </c>
      <c r="V39" s="362"/>
      <c r="W39" s="358" t="str">
        <f>IF(B35&lt;&gt;"",(VLOOKUP(B35,Waypoints!A2:AZ4996,20,FALSE)),"")</f>
        <v/>
      </c>
      <c r="X39" s="359"/>
      <c r="Y39" s="359"/>
      <c r="Z39" s="359"/>
      <c r="AA39" s="359"/>
      <c r="AB39" s="360"/>
      <c r="AC39" s="92"/>
      <c r="AD39" s="127"/>
      <c r="AE39" s="118"/>
      <c r="AF39" s="90"/>
      <c r="AG39" s="90"/>
      <c r="AH39" s="90" t="str">
        <f>IF(M39&lt;&gt;"",AJ39,"")</f>
        <v/>
      </c>
      <c r="AI39" s="90">
        <f>LEN(M39)</f>
        <v>0</v>
      </c>
      <c r="AJ39" s="90" t="e">
        <f>VALUE(MID(M39,1,AI39-3))</f>
        <v>#VALUE!</v>
      </c>
      <c r="AK39" s="90"/>
      <c r="AL39" s="90"/>
      <c r="AM39" s="142"/>
      <c r="AN39" s="140"/>
      <c r="AO39" s="140"/>
      <c r="AP39" s="140"/>
      <c r="AR39" s="92"/>
    </row>
    <row r="40" spans="1:44" ht="3" customHeight="1" thickBot="1" x14ac:dyDescent="0.3">
      <c r="A40" s="188"/>
      <c r="B40" s="190"/>
      <c r="C40" s="191"/>
      <c r="D40" s="191"/>
      <c r="E40" s="191"/>
      <c r="F40" s="191"/>
      <c r="G40" s="191"/>
      <c r="H40" s="191"/>
      <c r="I40" s="191"/>
      <c r="J40" s="191"/>
      <c r="K40" s="192"/>
      <c r="L40" s="193"/>
      <c r="M40" s="194"/>
      <c r="N40" s="194"/>
      <c r="O40" s="194"/>
      <c r="P40" s="195"/>
      <c r="Q40" s="195"/>
      <c r="R40" s="195"/>
      <c r="S40" s="196"/>
      <c r="T40" s="196"/>
      <c r="U40" s="194"/>
      <c r="V40" s="194"/>
      <c r="W40" s="194"/>
      <c r="X40" s="194"/>
      <c r="Y40" s="194"/>
      <c r="Z40" s="197"/>
      <c r="AA40" s="197"/>
      <c r="AB40" s="197"/>
      <c r="AC40" s="92"/>
      <c r="AD40" s="141"/>
      <c r="AE40" s="118"/>
      <c r="AF40" s="90"/>
      <c r="AG40" s="90"/>
      <c r="AI40" s="90"/>
      <c r="AJ40" s="90"/>
      <c r="AK40" s="90"/>
      <c r="AL40" s="90"/>
      <c r="AM40" s="128"/>
      <c r="AN40" s="140"/>
      <c r="AO40" s="140"/>
      <c r="AP40" s="140"/>
    </row>
    <row r="41" spans="1:44" ht="6.9" customHeight="1" x14ac:dyDescent="0.25">
      <c r="A41" s="188"/>
      <c r="B41" s="209" t="s">
        <v>1929</v>
      </c>
      <c r="C41" s="209" t="s">
        <v>419</v>
      </c>
      <c r="D41" s="433" t="s">
        <v>2900</v>
      </c>
      <c r="E41" s="434"/>
      <c r="F41" s="434"/>
      <c r="G41" s="434"/>
      <c r="H41" s="434"/>
      <c r="I41" s="434"/>
      <c r="J41" s="435"/>
      <c r="K41" s="363" t="s">
        <v>420</v>
      </c>
      <c r="L41" s="365"/>
      <c r="M41" s="363" t="s">
        <v>2331</v>
      </c>
      <c r="N41" s="364"/>
      <c r="O41" s="222" t="str">
        <f>G5</f>
        <v>Km</v>
      </c>
      <c r="P41" s="363" t="s">
        <v>1306</v>
      </c>
      <c r="Q41" s="364"/>
      <c r="R41" s="365"/>
      <c r="S41" s="366" t="s">
        <v>421</v>
      </c>
      <c r="T41" s="367"/>
      <c r="U41" s="211" t="s">
        <v>2333</v>
      </c>
      <c r="V41" s="210" t="str">
        <f>Z5</f>
        <v>Km/h</v>
      </c>
      <c r="W41" s="366" t="s">
        <v>2330</v>
      </c>
      <c r="X41" s="428"/>
      <c r="Y41" s="367"/>
      <c r="Z41" s="429" t="s">
        <v>196</v>
      </c>
      <c r="AA41" s="430"/>
      <c r="AB41" s="222" t="str">
        <f>N5</f>
        <v>Ft</v>
      </c>
      <c r="AC41" s="92"/>
      <c r="AD41" s="141"/>
      <c r="AE41" s="90"/>
      <c r="AF41" s="90"/>
      <c r="AG41" s="90"/>
      <c r="AI41" s="90"/>
      <c r="AJ41" s="90"/>
      <c r="AK41" s="90"/>
      <c r="AL41" s="90"/>
      <c r="AM41" s="128"/>
      <c r="AN41" s="140"/>
      <c r="AO41" s="140"/>
      <c r="AP41" s="140"/>
    </row>
    <row r="42" spans="1:44" ht="12" customHeight="1" thickBot="1" x14ac:dyDescent="0.3">
      <c r="A42" s="188"/>
      <c r="B42" s="436"/>
      <c r="C42" s="189" t="str">
        <f>IF(B42&lt;&gt;"",(VLOOKUP(B42,Waypoints!A2:AZ4996,2,FALSE)),"")</f>
        <v/>
      </c>
      <c r="D42" s="407" t="str">
        <f>IF(AND(B42&lt;&gt;"",N(AH46&gt;=Z11)),(VLOOKUP(B42,Waypoints!A2:AZ4996,6,FALSE)),AJ42)</f>
        <v/>
      </c>
      <c r="E42" s="408"/>
      <c r="F42" s="408"/>
      <c r="G42" s="408"/>
      <c r="H42" s="408"/>
      <c r="I42" s="408"/>
      <c r="J42" s="409"/>
      <c r="K42" s="410" t="str">
        <f>IF(B42&lt;&gt;"",Calcoli!J7,"")</f>
        <v/>
      </c>
      <c r="L42" s="411"/>
      <c r="M42" s="416" t="str">
        <f>IF(B42&lt;&gt;"",Calcoli!K7/AE5,"")</f>
        <v/>
      </c>
      <c r="N42" s="417"/>
      <c r="O42" s="418"/>
      <c r="P42" s="311" t="str">
        <f>IF(M42&lt;&gt;"",TRUNC((AD42+AL44)/60),"")</f>
        <v/>
      </c>
      <c r="Q42" s="220" t="s">
        <v>199</v>
      </c>
      <c r="R42" s="312" t="str">
        <f>IF(M42&lt;&gt;"",AD42-TRUNC(P42)*60,"")</f>
        <v/>
      </c>
      <c r="S42" s="431" t="str">
        <f>IF(M42&lt;&gt;"",CEILING(P42*L11+R42*L11/60,0.1),"")</f>
        <v/>
      </c>
      <c r="T42" s="432"/>
      <c r="U42" s="396"/>
      <c r="V42" s="397"/>
      <c r="W42" s="398"/>
      <c r="X42" s="399"/>
      <c r="Y42" s="400"/>
      <c r="Z42" s="401" t="str">
        <f>IF(B42&lt;&gt;"",(VLOOKUP(B42,Waypoints!A2:AZ4996,AF5,FALSE)),"")</f>
        <v/>
      </c>
      <c r="AA42" s="402"/>
      <c r="AB42" s="403"/>
      <c r="AC42" s="127"/>
      <c r="AD42" s="104">
        <f>IF(B42&lt;&gt;"",ROUNDUP(M42/U42*60,0),0)</f>
        <v>0</v>
      </c>
      <c r="AE42" s="118">
        <f>IF(B42&lt;&gt;"",M42*U42,0)</f>
        <v>0</v>
      </c>
      <c r="AF42" s="102">
        <f>AF35+AD42+AL44</f>
        <v>0</v>
      </c>
      <c r="AG42" s="90">
        <f>IF(B42&lt;&gt;"",1,0)</f>
        <v>0</v>
      </c>
      <c r="AI42" s="90"/>
      <c r="AJ42" s="384" t="str">
        <f>IF(N(AH46)=0,"",IF(N(AH46)&gt;=Z11,"","PISTA TROPPO CORTA"))</f>
        <v/>
      </c>
      <c r="AK42" s="384"/>
      <c r="AL42" s="90"/>
      <c r="AM42" s="120">
        <f>W42</f>
        <v>0</v>
      </c>
      <c r="AN42" s="118" t="str">
        <f>M42</f>
        <v/>
      </c>
      <c r="AO42" s="140"/>
      <c r="AP42" s="122" t="str">
        <f>S42</f>
        <v/>
      </c>
      <c r="AQ42" s="122">
        <f>W42</f>
        <v>0</v>
      </c>
    </row>
    <row r="43" spans="1:44" ht="6.9" customHeight="1" x14ac:dyDescent="0.25">
      <c r="A43" s="188"/>
      <c r="B43" s="405"/>
      <c r="C43" s="381" t="s">
        <v>173</v>
      </c>
      <c r="D43" s="382"/>
      <c r="E43" s="382"/>
      <c r="F43" s="382"/>
      <c r="G43" s="382"/>
      <c r="H43" s="382"/>
      <c r="I43" s="382"/>
      <c r="J43" s="383"/>
      <c r="K43" s="412"/>
      <c r="L43" s="413"/>
      <c r="M43" s="385" t="s">
        <v>2332</v>
      </c>
      <c r="N43" s="386"/>
      <c r="O43" s="212" t="str">
        <f>G5</f>
        <v>Km</v>
      </c>
      <c r="P43" s="387" t="s">
        <v>422</v>
      </c>
      <c r="Q43" s="388"/>
      <c r="R43" s="389"/>
      <c r="S43" s="390" t="s">
        <v>422</v>
      </c>
      <c r="T43" s="391"/>
      <c r="U43" s="392" t="s">
        <v>2200</v>
      </c>
      <c r="V43" s="393"/>
      <c r="W43" s="372" t="s">
        <v>197</v>
      </c>
      <c r="X43" s="380"/>
      <c r="Y43" s="380"/>
      <c r="Z43" s="380"/>
      <c r="AA43" s="380"/>
      <c r="AB43" s="373"/>
      <c r="AC43" s="92"/>
      <c r="AD43" s="141"/>
      <c r="AE43" s="118"/>
      <c r="AF43" s="90"/>
      <c r="AG43" s="90"/>
      <c r="AI43" s="90"/>
      <c r="AJ43" s="119"/>
      <c r="AK43" s="119"/>
      <c r="AL43" s="119"/>
      <c r="AM43" s="123"/>
      <c r="AN43" s="121"/>
      <c r="AO43" s="121"/>
      <c r="AP43" s="140"/>
    </row>
    <row r="44" spans="1:44" ht="12" customHeight="1" thickBot="1" x14ac:dyDescent="0.3">
      <c r="A44" s="188"/>
      <c r="B44" s="405"/>
      <c r="C44" s="179" t="str">
        <f>IF(B42&lt;&gt;"",(VLOOKUP(B42,Waypoints!A2:AZ4996,7,FALSE)),"")</f>
        <v/>
      </c>
      <c r="D44" s="180" t="str">
        <f>IF(B42&lt;&gt;"",(VLOOKUP(B42,Waypoints!A2:AZ4996,8,FALSE)),"")</f>
        <v/>
      </c>
      <c r="E44" s="180" t="str">
        <f>IF(B42&lt;&gt;"",(VLOOKUP(B42,Waypoints!A2:AZ4996,9,FALSE)),"")</f>
        <v/>
      </c>
      <c r="F44" s="180" t="str">
        <f>IF(B42&lt;&gt;"",(VLOOKUP(B42,Waypoints!A2:AZ4996,10,FALSE)),"")</f>
        <v/>
      </c>
      <c r="G44" s="180" t="str">
        <f>IF(B42&lt;&gt;"",(VLOOKUP(B42,Waypoints!A2:AZ4996,11,FALSE)),"")</f>
        <v/>
      </c>
      <c r="H44" s="180" t="str">
        <f>IF(B42&lt;&gt;"",(VLOOKUP(B42,Waypoints!A2:AZ4996,12,FALSE)),"")</f>
        <v/>
      </c>
      <c r="I44" s="180" t="str">
        <f>IF(B42&lt;&gt;"",(VLOOKUP(B42,Waypoints!A2:AZ4996,13,FALSE)),"")</f>
        <v/>
      </c>
      <c r="J44" s="181" t="str">
        <f>IF(B42&lt;&gt;"",(VLOOKUP(B42,Waypoints!A2:AZ4996,14,FALSE)),"")</f>
        <v/>
      </c>
      <c r="K44" s="414"/>
      <c r="L44" s="415"/>
      <c r="M44" s="361" t="str">
        <f>IF(M42&lt;&gt;"",M42+M37,"")</f>
        <v/>
      </c>
      <c r="N44" s="419"/>
      <c r="O44" s="362"/>
      <c r="P44" s="183" t="str">
        <f>IF(P42&lt;&gt;"",TRUNC(AF42/60),"")</f>
        <v/>
      </c>
      <c r="Q44" s="182" t="s">
        <v>199</v>
      </c>
      <c r="R44" s="184" t="str">
        <f>IF(R42&lt;&gt;"",AF42-TRUNC(P44)*60,"")</f>
        <v/>
      </c>
      <c r="S44" s="368" t="str">
        <f>IF(S42&lt;&gt;"",S42+S37,"")</f>
        <v/>
      </c>
      <c r="T44" s="369"/>
      <c r="U44" s="370"/>
      <c r="V44" s="371"/>
      <c r="W44" s="374"/>
      <c r="X44" s="375"/>
      <c r="Y44" s="375"/>
      <c r="Z44" s="375"/>
      <c r="AA44" s="375"/>
      <c r="AB44" s="376"/>
      <c r="AC44" s="92"/>
      <c r="AD44" s="141"/>
      <c r="AE44" s="124"/>
      <c r="AF44" s="102"/>
      <c r="AG44" s="90"/>
      <c r="AI44" s="90"/>
      <c r="AJ44" s="90"/>
      <c r="AK44" s="90"/>
      <c r="AL44" s="90">
        <f>IF(U44&lt;&gt;"",10,0)</f>
        <v>0</v>
      </c>
      <c r="AM44" s="142"/>
      <c r="AN44" s="140"/>
      <c r="AO44" s="126">
        <f>U44</f>
        <v>0</v>
      </c>
      <c r="AP44" s="140"/>
    </row>
    <row r="45" spans="1:44" ht="6.9" customHeight="1" x14ac:dyDescent="0.25">
      <c r="A45" s="188"/>
      <c r="B45" s="405"/>
      <c r="C45" s="381" t="s">
        <v>2899</v>
      </c>
      <c r="D45" s="382"/>
      <c r="E45" s="382"/>
      <c r="F45" s="382"/>
      <c r="G45" s="382"/>
      <c r="H45" s="383"/>
      <c r="I45" s="377" t="s">
        <v>174</v>
      </c>
      <c r="J45" s="379"/>
      <c r="K45" s="372" t="s">
        <v>2588</v>
      </c>
      <c r="L45" s="373"/>
      <c r="M45" s="372" t="s">
        <v>423</v>
      </c>
      <c r="N45" s="380"/>
      <c r="O45" s="380"/>
      <c r="P45" s="380"/>
      <c r="Q45" s="373"/>
      <c r="R45" s="377" t="s">
        <v>195</v>
      </c>
      <c r="S45" s="378"/>
      <c r="T45" s="379"/>
      <c r="U45" s="372" t="s">
        <v>1291</v>
      </c>
      <c r="V45" s="373"/>
      <c r="W45" s="372" t="s">
        <v>123</v>
      </c>
      <c r="X45" s="380"/>
      <c r="Y45" s="380"/>
      <c r="Z45" s="380"/>
      <c r="AA45" s="380"/>
      <c r="AB45" s="373"/>
      <c r="AC45" s="92"/>
      <c r="AD45" s="141"/>
      <c r="AE45" s="124"/>
      <c r="AF45" s="102"/>
      <c r="AG45" s="90"/>
      <c r="AI45" s="90"/>
      <c r="AJ45" s="90"/>
      <c r="AK45" s="90"/>
      <c r="AL45" s="90"/>
      <c r="AM45" s="125"/>
      <c r="AN45" s="140"/>
      <c r="AO45" s="140"/>
      <c r="AP45" s="140"/>
    </row>
    <row r="46" spans="1:44" ht="12" customHeight="1" thickBot="1" x14ac:dyDescent="0.3">
      <c r="A46" s="188"/>
      <c r="B46" s="406"/>
      <c r="C46" s="420" t="str">
        <f>IF(B42&lt;&gt;"",(VLOOKUP(B42,Waypoints!A2:AZ4996,5,FALSE)),"")</f>
        <v/>
      </c>
      <c r="D46" s="421"/>
      <c r="E46" s="421"/>
      <c r="F46" s="421"/>
      <c r="G46" s="421"/>
      <c r="H46" s="422"/>
      <c r="I46" s="423" t="str">
        <f>IF(B42&lt;&gt;"",(VLOOKUP(B42,Waypoints!A2:AZ4996,4,FALSE)),"")</f>
        <v/>
      </c>
      <c r="J46" s="424"/>
      <c r="K46" s="423" t="str">
        <f>IF(B42&lt;&gt;"",(VLOOKUP(B42,Waypoints!A2:AZ4996,16,FALSE)),"")</f>
        <v/>
      </c>
      <c r="L46" s="424"/>
      <c r="M46" s="425" t="str">
        <f>IF(B42&lt;&gt;"",(VLOOKUP(B42,Waypoints!A2:AZ4996,17,FALSE)),"")</f>
        <v/>
      </c>
      <c r="N46" s="426"/>
      <c r="O46" s="426"/>
      <c r="P46" s="426"/>
      <c r="Q46" s="427"/>
      <c r="R46" s="358" t="str">
        <f>IF(B42&lt;&gt;"",(VLOOKUP(B42,Waypoints!A2:AZ4996,18,FALSE)),"")</f>
        <v/>
      </c>
      <c r="S46" s="359"/>
      <c r="T46" s="360"/>
      <c r="U46" s="361" t="str">
        <f>IF(B42&lt;&gt;"",(VLOOKUP(B42,Waypoints!A2:AZ4996,19,FALSE)),"")</f>
        <v/>
      </c>
      <c r="V46" s="362"/>
      <c r="W46" s="358" t="str">
        <f>IF(B42&lt;&gt;"",(VLOOKUP(B42,Waypoints!A2:AZ4996,20,FALSE)),"")</f>
        <v/>
      </c>
      <c r="X46" s="359"/>
      <c r="Y46" s="359"/>
      <c r="Z46" s="359"/>
      <c r="AA46" s="359"/>
      <c r="AB46" s="360"/>
      <c r="AC46" s="92"/>
      <c r="AD46" s="127"/>
      <c r="AE46" s="118"/>
      <c r="AF46" s="90"/>
      <c r="AG46" s="90"/>
      <c r="AH46" s="90" t="str">
        <f>IF(M46&lt;&gt;"",AJ46,"")</f>
        <v/>
      </c>
      <c r="AI46" s="90">
        <f>LEN(M46)</f>
        <v>0</v>
      </c>
      <c r="AJ46" s="90" t="e">
        <f>VALUE(MID(M46,1,AI46-3))</f>
        <v>#VALUE!</v>
      </c>
      <c r="AK46" s="90"/>
      <c r="AL46" s="90"/>
      <c r="AM46" s="142"/>
      <c r="AN46" s="140"/>
      <c r="AO46" s="140"/>
      <c r="AP46" s="140"/>
      <c r="AR46" s="92"/>
    </row>
    <row r="47" spans="1:44" ht="3" customHeight="1" thickBot="1" x14ac:dyDescent="0.3">
      <c r="A47" s="188"/>
      <c r="B47" s="190"/>
      <c r="C47" s="191"/>
      <c r="D47" s="191"/>
      <c r="E47" s="191"/>
      <c r="F47" s="191"/>
      <c r="G47" s="191"/>
      <c r="H47" s="191"/>
      <c r="I47" s="191"/>
      <c r="J47" s="191"/>
      <c r="K47" s="192"/>
      <c r="L47" s="193"/>
      <c r="M47" s="194"/>
      <c r="N47" s="194"/>
      <c r="O47" s="194"/>
      <c r="P47" s="195"/>
      <c r="Q47" s="195"/>
      <c r="R47" s="195"/>
      <c r="S47" s="196"/>
      <c r="T47" s="196"/>
      <c r="U47" s="194"/>
      <c r="V47" s="194"/>
      <c r="W47" s="194"/>
      <c r="X47" s="194"/>
      <c r="Y47" s="194"/>
      <c r="Z47" s="197"/>
      <c r="AA47" s="197"/>
      <c r="AB47" s="197"/>
      <c r="AC47" s="92"/>
      <c r="AD47" s="141"/>
      <c r="AE47" s="118"/>
      <c r="AF47" s="90"/>
      <c r="AG47" s="90"/>
      <c r="AI47" s="90"/>
      <c r="AJ47" s="90"/>
      <c r="AK47" s="90"/>
      <c r="AL47" s="90"/>
      <c r="AM47" s="128"/>
      <c r="AN47" s="140"/>
      <c r="AO47" s="140"/>
      <c r="AP47" s="140"/>
    </row>
    <row r="48" spans="1:44" ht="6.9" customHeight="1" x14ac:dyDescent="0.25">
      <c r="A48" s="188"/>
      <c r="B48" s="209" t="s">
        <v>1930</v>
      </c>
      <c r="C48" s="209" t="s">
        <v>419</v>
      </c>
      <c r="D48" s="433" t="s">
        <v>2900</v>
      </c>
      <c r="E48" s="434"/>
      <c r="F48" s="434"/>
      <c r="G48" s="434"/>
      <c r="H48" s="434"/>
      <c r="I48" s="434"/>
      <c r="J48" s="435"/>
      <c r="K48" s="363" t="s">
        <v>420</v>
      </c>
      <c r="L48" s="365"/>
      <c r="M48" s="363" t="s">
        <v>2331</v>
      </c>
      <c r="N48" s="364"/>
      <c r="O48" s="222" t="str">
        <f>G5</f>
        <v>Km</v>
      </c>
      <c r="P48" s="363" t="s">
        <v>1306</v>
      </c>
      <c r="Q48" s="364"/>
      <c r="R48" s="365"/>
      <c r="S48" s="366" t="s">
        <v>421</v>
      </c>
      <c r="T48" s="367"/>
      <c r="U48" s="211" t="s">
        <v>2333</v>
      </c>
      <c r="V48" s="210" t="str">
        <f>Z5</f>
        <v>Km/h</v>
      </c>
      <c r="W48" s="366" t="s">
        <v>2330</v>
      </c>
      <c r="X48" s="428"/>
      <c r="Y48" s="367"/>
      <c r="Z48" s="429" t="s">
        <v>196</v>
      </c>
      <c r="AA48" s="430"/>
      <c r="AB48" s="222" t="str">
        <f>N5</f>
        <v>Ft</v>
      </c>
      <c r="AC48" s="92"/>
      <c r="AD48" s="141"/>
      <c r="AE48" s="90"/>
      <c r="AF48" s="90"/>
      <c r="AG48" s="90"/>
      <c r="AI48" s="90"/>
      <c r="AJ48" s="90"/>
      <c r="AK48" s="90"/>
      <c r="AL48" s="90"/>
      <c r="AM48" s="128"/>
      <c r="AN48" s="140"/>
      <c r="AO48" s="140"/>
      <c r="AP48" s="140"/>
    </row>
    <row r="49" spans="1:44" ht="12" customHeight="1" thickBot="1" x14ac:dyDescent="0.3">
      <c r="A49" s="188"/>
      <c r="B49" s="436"/>
      <c r="C49" s="189" t="str">
        <f>IF(B49&lt;&gt;"",(VLOOKUP(B49,Waypoints!A2:AZ4996,2,FALSE)),"")</f>
        <v/>
      </c>
      <c r="D49" s="407" t="str">
        <f>IF(AND(B49&lt;&gt;"",N(AH53&gt;=Z11)),(VLOOKUP(B49,Waypoints!A2:AZ4996,6,FALSE)),AJ49)</f>
        <v/>
      </c>
      <c r="E49" s="408"/>
      <c r="F49" s="408"/>
      <c r="G49" s="408"/>
      <c r="H49" s="408"/>
      <c r="I49" s="408"/>
      <c r="J49" s="409"/>
      <c r="K49" s="410" t="str">
        <f>IF(B49&lt;&gt;"",Calcoli!J8,"")</f>
        <v/>
      </c>
      <c r="L49" s="411"/>
      <c r="M49" s="416" t="str">
        <f>IF(B49&lt;&gt;"",Calcoli!K8/AE5,"")</f>
        <v/>
      </c>
      <c r="N49" s="417"/>
      <c r="O49" s="418"/>
      <c r="P49" s="311" t="str">
        <f>IF(M49&lt;&gt;"",TRUNC((AD49+AL51)/60),"")</f>
        <v/>
      </c>
      <c r="Q49" s="220" t="s">
        <v>199</v>
      </c>
      <c r="R49" s="312" t="str">
        <f>IF(M49&lt;&gt;"",AD49-TRUNC(P49)*60,"")</f>
        <v/>
      </c>
      <c r="S49" s="431" t="str">
        <f>IF(M49&lt;&gt;"",CEILING(P49*L11+R49*L11/60,0.1),"")</f>
        <v/>
      </c>
      <c r="T49" s="432"/>
      <c r="U49" s="396"/>
      <c r="V49" s="397"/>
      <c r="W49" s="398"/>
      <c r="X49" s="399"/>
      <c r="Y49" s="400"/>
      <c r="Z49" s="401" t="str">
        <f>IF(B49&lt;&gt;"",(VLOOKUP(B49,Waypoints!A2:AZ4996,AF5,FALSE)),"")</f>
        <v/>
      </c>
      <c r="AA49" s="402"/>
      <c r="AB49" s="403"/>
      <c r="AC49" s="127"/>
      <c r="AD49" s="104">
        <f>IF(B49&lt;&gt;"",ROUNDUP(M49/U49*60,0),0)</f>
        <v>0</v>
      </c>
      <c r="AE49" s="118">
        <f>IF(B49&lt;&gt;"",M49*U49,0)</f>
        <v>0</v>
      </c>
      <c r="AF49" s="102">
        <f>AF42+AD49+AL51</f>
        <v>0</v>
      </c>
      <c r="AG49" s="90">
        <f>IF(B49&lt;&gt;"",1,0)</f>
        <v>0</v>
      </c>
      <c r="AI49" s="90"/>
      <c r="AJ49" s="384" t="str">
        <f>IF(N(AH53)=0,"",IF(N(AH53)&gt;=Z11,"","PISTA TROPPO CORTA"))</f>
        <v/>
      </c>
      <c r="AK49" s="384"/>
      <c r="AL49" s="90"/>
      <c r="AM49" s="120">
        <f>W49</f>
        <v>0</v>
      </c>
      <c r="AN49" s="118" t="str">
        <f>M49</f>
        <v/>
      </c>
      <c r="AO49" s="140"/>
      <c r="AP49" s="122" t="str">
        <f>S49</f>
        <v/>
      </c>
      <c r="AQ49" s="122">
        <f>W49</f>
        <v>0</v>
      </c>
    </row>
    <row r="50" spans="1:44" ht="6.9" customHeight="1" x14ac:dyDescent="0.25">
      <c r="A50" s="188"/>
      <c r="B50" s="405"/>
      <c r="C50" s="381" t="s">
        <v>173</v>
      </c>
      <c r="D50" s="382"/>
      <c r="E50" s="382"/>
      <c r="F50" s="382"/>
      <c r="G50" s="382"/>
      <c r="H50" s="382"/>
      <c r="I50" s="382"/>
      <c r="J50" s="383"/>
      <c r="K50" s="412"/>
      <c r="L50" s="413"/>
      <c r="M50" s="385" t="s">
        <v>2332</v>
      </c>
      <c r="N50" s="386"/>
      <c r="O50" s="212" t="str">
        <f>G5</f>
        <v>Km</v>
      </c>
      <c r="P50" s="387" t="s">
        <v>422</v>
      </c>
      <c r="Q50" s="388"/>
      <c r="R50" s="389"/>
      <c r="S50" s="390" t="s">
        <v>422</v>
      </c>
      <c r="T50" s="391"/>
      <c r="U50" s="392" t="s">
        <v>2200</v>
      </c>
      <c r="V50" s="393"/>
      <c r="W50" s="372" t="s">
        <v>197</v>
      </c>
      <c r="X50" s="380"/>
      <c r="Y50" s="380"/>
      <c r="Z50" s="380"/>
      <c r="AA50" s="380"/>
      <c r="AB50" s="373"/>
      <c r="AC50" s="92"/>
      <c r="AD50" s="141"/>
      <c r="AE50" s="118"/>
      <c r="AF50" s="90"/>
      <c r="AG50" s="90"/>
      <c r="AI50" s="90"/>
      <c r="AJ50" s="119"/>
      <c r="AK50" s="119"/>
      <c r="AL50" s="119"/>
      <c r="AM50" s="123"/>
      <c r="AN50" s="121"/>
      <c r="AO50" s="121"/>
      <c r="AP50" s="140"/>
    </row>
    <row r="51" spans="1:44" ht="12" customHeight="1" thickBot="1" x14ac:dyDescent="0.3">
      <c r="A51" s="188"/>
      <c r="B51" s="405"/>
      <c r="C51" s="179" t="str">
        <f>IF(B49&lt;&gt;"",(VLOOKUP(B49,Waypoints!A2:AZ4996,7,FALSE)),"")</f>
        <v/>
      </c>
      <c r="D51" s="180" t="str">
        <f>IF(B49&lt;&gt;"",(VLOOKUP(B49,Waypoints!A2:AZ4996,8,FALSE)),"")</f>
        <v/>
      </c>
      <c r="E51" s="180" t="str">
        <f>IF(B49&lt;&gt;"",(VLOOKUP(B49,Waypoints!A2:AZ4996,9,FALSE)),"")</f>
        <v/>
      </c>
      <c r="F51" s="180" t="str">
        <f>IF(B49&lt;&gt;"",(VLOOKUP(B49,Waypoints!A2:AZ4996,10,FALSE)),"")</f>
        <v/>
      </c>
      <c r="G51" s="180" t="str">
        <f>IF(B49&lt;&gt;"",(VLOOKUP(B49,Waypoints!A2:AZ4996,11,FALSE)),"")</f>
        <v/>
      </c>
      <c r="H51" s="180" t="str">
        <f>IF(B49&lt;&gt;"",(VLOOKUP(B49,Waypoints!A2:AZ4996,12,FALSE)),"")</f>
        <v/>
      </c>
      <c r="I51" s="180" t="str">
        <f>IF(B49&lt;&gt;"",(VLOOKUP(B49,Waypoints!A2:AZ4996,13,FALSE)),"")</f>
        <v/>
      </c>
      <c r="J51" s="181" t="str">
        <f>IF(B49&lt;&gt;"",(VLOOKUP(B49,Waypoints!A2:AZ4996,14,FALSE)),"")</f>
        <v/>
      </c>
      <c r="K51" s="414"/>
      <c r="L51" s="415"/>
      <c r="M51" s="361" t="str">
        <f>IF(M49&lt;&gt;"",M49+M44,"")</f>
        <v/>
      </c>
      <c r="N51" s="419"/>
      <c r="O51" s="362"/>
      <c r="P51" s="183" t="str">
        <f>IF(P49&lt;&gt;"",TRUNC(AF49/60),"")</f>
        <v/>
      </c>
      <c r="Q51" s="182" t="s">
        <v>199</v>
      </c>
      <c r="R51" s="184" t="str">
        <f>IF(R49&lt;&gt;"",AF49-TRUNC(P51)*60,"")</f>
        <v/>
      </c>
      <c r="S51" s="368" t="str">
        <f>IF(S49&lt;&gt;"",S49+S44,"")</f>
        <v/>
      </c>
      <c r="T51" s="369"/>
      <c r="U51" s="370"/>
      <c r="V51" s="371"/>
      <c r="W51" s="374"/>
      <c r="X51" s="375"/>
      <c r="Y51" s="375"/>
      <c r="Z51" s="375"/>
      <c r="AA51" s="375"/>
      <c r="AB51" s="376"/>
      <c r="AC51" s="92"/>
      <c r="AD51" s="141"/>
      <c r="AE51" s="124"/>
      <c r="AF51" s="102"/>
      <c r="AG51" s="90"/>
      <c r="AI51" s="90"/>
      <c r="AJ51" s="90"/>
      <c r="AK51" s="90"/>
      <c r="AL51" s="90">
        <f>IF(U51&lt;&gt;"",10,0)</f>
        <v>0</v>
      </c>
      <c r="AM51" s="142"/>
      <c r="AN51" s="140"/>
      <c r="AO51" s="126">
        <f>U51</f>
        <v>0</v>
      </c>
      <c r="AP51" s="140"/>
    </row>
    <row r="52" spans="1:44" ht="6.9" customHeight="1" x14ac:dyDescent="0.25">
      <c r="A52" s="188"/>
      <c r="B52" s="405"/>
      <c r="C52" s="381" t="s">
        <v>2899</v>
      </c>
      <c r="D52" s="382"/>
      <c r="E52" s="382"/>
      <c r="F52" s="382"/>
      <c r="G52" s="382"/>
      <c r="H52" s="383"/>
      <c r="I52" s="377" t="s">
        <v>174</v>
      </c>
      <c r="J52" s="379"/>
      <c r="K52" s="372" t="s">
        <v>2588</v>
      </c>
      <c r="L52" s="373"/>
      <c r="M52" s="372" t="s">
        <v>423</v>
      </c>
      <c r="N52" s="380"/>
      <c r="O52" s="380"/>
      <c r="P52" s="380"/>
      <c r="Q52" s="373"/>
      <c r="R52" s="377" t="s">
        <v>195</v>
      </c>
      <c r="S52" s="378"/>
      <c r="T52" s="379"/>
      <c r="U52" s="372" t="s">
        <v>1291</v>
      </c>
      <c r="V52" s="373"/>
      <c r="W52" s="372" t="s">
        <v>123</v>
      </c>
      <c r="X52" s="380"/>
      <c r="Y52" s="380"/>
      <c r="Z52" s="380"/>
      <c r="AA52" s="380"/>
      <c r="AB52" s="373"/>
      <c r="AC52" s="92"/>
      <c r="AD52" s="141"/>
      <c r="AE52" s="124"/>
      <c r="AF52" s="102"/>
      <c r="AG52" s="90"/>
      <c r="AI52" s="90"/>
      <c r="AJ52" s="90"/>
      <c r="AK52" s="90"/>
      <c r="AL52" s="90"/>
      <c r="AM52" s="125"/>
      <c r="AN52" s="140"/>
      <c r="AO52" s="140"/>
      <c r="AP52" s="140"/>
    </row>
    <row r="53" spans="1:44" ht="12" customHeight="1" thickBot="1" x14ac:dyDescent="0.3">
      <c r="A53" s="188"/>
      <c r="B53" s="406"/>
      <c r="C53" s="420" t="str">
        <f>IF(B49&lt;&gt;"",(VLOOKUP(B49,Waypoints!A2:AZ4996,5,FALSE)),"")</f>
        <v/>
      </c>
      <c r="D53" s="421"/>
      <c r="E53" s="421"/>
      <c r="F53" s="421"/>
      <c r="G53" s="421"/>
      <c r="H53" s="422"/>
      <c r="I53" s="423" t="str">
        <f>IF(B49&lt;&gt;"",(VLOOKUP(B49,Waypoints!A2:AZ4996,4,FALSE)),"")</f>
        <v/>
      </c>
      <c r="J53" s="424"/>
      <c r="K53" s="423" t="str">
        <f>IF(B49&lt;&gt;"",(VLOOKUP(B49,Waypoints!A2:AZ4996,16,FALSE)),"")</f>
        <v/>
      </c>
      <c r="L53" s="424"/>
      <c r="M53" s="425" t="str">
        <f>IF(B49&lt;&gt;"",(VLOOKUP(B49,Waypoints!A2:AZ4996,17,FALSE)),"")</f>
        <v/>
      </c>
      <c r="N53" s="426"/>
      <c r="O53" s="426"/>
      <c r="P53" s="426"/>
      <c r="Q53" s="427"/>
      <c r="R53" s="358" t="str">
        <f>IF(B49&lt;&gt;"",(VLOOKUP(B49,Waypoints!A2:AZ4996,18,FALSE)),"")</f>
        <v/>
      </c>
      <c r="S53" s="359"/>
      <c r="T53" s="360"/>
      <c r="U53" s="361" t="str">
        <f>IF(B49&lt;&gt;"",(VLOOKUP(B49,Waypoints!A2:AZ4996,19,FALSE)),"")</f>
        <v/>
      </c>
      <c r="V53" s="362"/>
      <c r="W53" s="358" t="str">
        <f>IF(B49&lt;&gt;"",(VLOOKUP(B49,Waypoints!A2:AZ4996,20,FALSE)),"")</f>
        <v/>
      </c>
      <c r="X53" s="359"/>
      <c r="Y53" s="359"/>
      <c r="Z53" s="359"/>
      <c r="AA53" s="359"/>
      <c r="AB53" s="360"/>
      <c r="AC53" s="92"/>
      <c r="AD53" s="127"/>
      <c r="AE53" s="118"/>
      <c r="AF53" s="90"/>
      <c r="AG53" s="90"/>
      <c r="AH53" s="90" t="str">
        <f>IF(M53&lt;&gt;"",AJ53,"")</f>
        <v/>
      </c>
      <c r="AI53" s="90">
        <f>LEN(M53)</f>
        <v>0</v>
      </c>
      <c r="AJ53" s="90" t="e">
        <f>VALUE(MID(M53,1,AI53-3))</f>
        <v>#VALUE!</v>
      </c>
      <c r="AK53" s="90"/>
      <c r="AL53" s="90"/>
      <c r="AM53" s="142"/>
      <c r="AN53" s="140"/>
      <c r="AO53" s="140"/>
      <c r="AP53" s="140"/>
      <c r="AR53" s="92"/>
    </row>
    <row r="54" spans="1:44" ht="3" customHeight="1" thickBot="1" x14ac:dyDescent="0.3">
      <c r="A54" s="188"/>
      <c r="B54" s="190"/>
      <c r="C54" s="191"/>
      <c r="D54" s="191"/>
      <c r="E54" s="191"/>
      <c r="F54" s="191"/>
      <c r="G54" s="191"/>
      <c r="H54" s="191"/>
      <c r="I54" s="191"/>
      <c r="J54" s="191"/>
      <c r="K54" s="192"/>
      <c r="L54" s="193"/>
      <c r="M54" s="194"/>
      <c r="N54" s="194"/>
      <c r="O54" s="194"/>
      <c r="P54" s="195"/>
      <c r="Q54" s="195"/>
      <c r="R54" s="195"/>
      <c r="S54" s="196"/>
      <c r="T54" s="196"/>
      <c r="U54" s="194"/>
      <c r="V54" s="194"/>
      <c r="W54" s="194"/>
      <c r="X54" s="194"/>
      <c r="Y54" s="194"/>
      <c r="Z54" s="197"/>
      <c r="AA54" s="197"/>
      <c r="AB54" s="197"/>
      <c r="AC54" s="92"/>
      <c r="AD54" s="141"/>
      <c r="AE54" s="118"/>
      <c r="AF54" s="90"/>
      <c r="AG54" s="90"/>
      <c r="AI54" s="90"/>
      <c r="AJ54" s="90"/>
      <c r="AK54" s="90"/>
      <c r="AL54" s="90"/>
      <c r="AM54" s="128"/>
      <c r="AN54" s="140"/>
      <c r="AO54" s="140"/>
      <c r="AP54" s="140"/>
    </row>
    <row r="55" spans="1:44" ht="6.9" customHeight="1" x14ac:dyDescent="0.25">
      <c r="A55" s="188"/>
      <c r="B55" s="209" t="s">
        <v>1931</v>
      </c>
      <c r="C55" s="209" t="s">
        <v>419</v>
      </c>
      <c r="D55" s="433" t="s">
        <v>2900</v>
      </c>
      <c r="E55" s="434"/>
      <c r="F55" s="434"/>
      <c r="G55" s="434"/>
      <c r="H55" s="434"/>
      <c r="I55" s="434"/>
      <c r="J55" s="435"/>
      <c r="K55" s="363" t="s">
        <v>420</v>
      </c>
      <c r="L55" s="365"/>
      <c r="M55" s="363" t="s">
        <v>2331</v>
      </c>
      <c r="N55" s="364"/>
      <c r="O55" s="222" t="str">
        <f>G5</f>
        <v>Km</v>
      </c>
      <c r="P55" s="363" t="s">
        <v>1306</v>
      </c>
      <c r="Q55" s="364"/>
      <c r="R55" s="365"/>
      <c r="S55" s="366" t="s">
        <v>421</v>
      </c>
      <c r="T55" s="367"/>
      <c r="U55" s="211" t="s">
        <v>2333</v>
      </c>
      <c r="V55" s="210" t="str">
        <f>Z5</f>
        <v>Km/h</v>
      </c>
      <c r="W55" s="366" t="s">
        <v>2330</v>
      </c>
      <c r="X55" s="428"/>
      <c r="Y55" s="367"/>
      <c r="Z55" s="429" t="s">
        <v>196</v>
      </c>
      <c r="AA55" s="430"/>
      <c r="AB55" s="222" t="str">
        <f>N5</f>
        <v>Ft</v>
      </c>
      <c r="AC55" s="92"/>
      <c r="AD55" s="141"/>
      <c r="AE55" s="90"/>
      <c r="AF55" s="90"/>
      <c r="AG55" s="90"/>
      <c r="AI55" s="90"/>
      <c r="AJ55" s="90"/>
      <c r="AK55" s="90"/>
      <c r="AL55" s="90"/>
      <c r="AM55" s="128"/>
      <c r="AN55" s="140"/>
      <c r="AO55" s="140"/>
      <c r="AP55" s="140"/>
    </row>
    <row r="56" spans="1:44" ht="12" customHeight="1" thickBot="1" x14ac:dyDescent="0.3">
      <c r="A56" s="188"/>
      <c r="B56" s="436"/>
      <c r="C56" s="189" t="str">
        <f>IF(B56&lt;&gt;"",(VLOOKUP(B56,Waypoints!A2:AZ4996,2,FALSE)),"")</f>
        <v/>
      </c>
      <c r="D56" s="407" t="str">
        <f>IF(AND(B56&lt;&gt;"",N(AH60&gt;=Z11)),(VLOOKUP(B56,Waypoints!A2:AZ4996,6,FALSE)),AJ56)</f>
        <v/>
      </c>
      <c r="E56" s="408"/>
      <c r="F56" s="408"/>
      <c r="G56" s="408"/>
      <c r="H56" s="408"/>
      <c r="I56" s="408"/>
      <c r="J56" s="409"/>
      <c r="K56" s="410" t="str">
        <f>IF(B56&lt;&gt;"",Calcoli!J9,"")</f>
        <v/>
      </c>
      <c r="L56" s="411"/>
      <c r="M56" s="416" t="str">
        <f>IF(B56&lt;&gt;"",Calcoli!K9/AE5,"")</f>
        <v/>
      </c>
      <c r="N56" s="417"/>
      <c r="O56" s="418"/>
      <c r="P56" s="311" t="str">
        <f>IF(M56&lt;&gt;"",TRUNC((AD56+AL58)/60),"")</f>
        <v/>
      </c>
      <c r="Q56" s="220" t="s">
        <v>199</v>
      </c>
      <c r="R56" s="312" t="str">
        <f>IF(M56&lt;&gt;"",AD56-TRUNC(P56)*60,"")</f>
        <v/>
      </c>
      <c r="S56" s="431" t="str">
        <f>IF(M56&lt;&gt;"",CEILING(P56*L11+R56*L11/60,0.1),"")</f>
        <v/>
      </c>
      <c r="T56" s="432"/>
      <c r="U56" s="396"/>
      <c r="V56" s="397"/>
      <c r="W56" s="398"/>
      <c r="X56" s="399"/>
      <c r="Y56" s="400"/>
      <c r="Z56" s="401" t="str">
        <f>IF(B56&lt;&gt;"",(VLOOKUP(B56,Waypoints!A2:AZ4996,AF5,FALSE)),"")</f>
        <v/>
      </c>
      <c r="AA56" s="402"/>
      <c r="AB56" s="403"/>
      <c r="AC56" s="127"/>
      <c r="AD56" s="104">
        <f>IF(B56&lt;&gt;"",ROUNDUP(M56/U56*60,0),0)</f>
        <v>0</v>
      </c>
      <c r="AE56" s="118">
        <f>IF(B56&lt;&gt;"",M56*U56,0)</f>
        <v>0</v>
      </c>
      <c r="AF56" s="102">
        <f>AF49+AD56+AL58</f>
        <v>0</v>
      </c>
      <c r="AG56" s="90">
        <f>IF(B56&lt;&gt;"",1,0)</f>
        <v>0</v>
      </c>
      <c r="AI56" s="90"/>
      <c r="AJ56" s="384" t="str">
        <f>IF(N(AH60)=0,"",IF(N(AH60)&gt;=Z11,"","PISTA TROPPO CORTA"))</f>
        <v/>
      </c>
      <c r="AK56" s="384"/>
      <c r="AL56" s="90"/>
      <c r="AM56" s="120">
        <f>W56</f>
        <v>0</v>
      </c>
      <c r="AN56" s="118" t="str">
        <f>M56</f>
        <v/>
      </c>
      <c r="AO56" s="140"/>
      <c r="AP56" s="122" t="str">
        <f>S56</f>
        <v/>
      </c>
      <c r="AQ56" s="122">
        <f>W56</f>
        <v>0</v>
      </c>
    </row>
    <row r="57" spans="1:44" ht="6.9" customHeight="1" x14ac:dyDescent="0.25">
      <c r="A57" s="188"/>
      <c r="B57" s="405"/>
      <c r="C57" s="381" t="s">
        <v>173</v>
      </c>
      <c r="D57" s="382"/>
      <c r="E57" s="382"/>
      <c r="F57" s="382"/>
      <c r="G57" s="382"/>
      <c r="H57" s="382"/>
      <c r="I57" s="382"/>
      <c r="J57" s="383"/>
      <c r="K57" s="412"/>
      <c r="L57" s="413"/>
      <c r="M57" s="385" t="s">
        <v>2332</v>
      </c>
      <c r="N57" s="386"/>
      <c r="O57" s="212" t="str">
        <f>G5</f>
        <v>Km</v>
      </c>
      <c r="P57" s="387" t="s">
        <v>422</v>
      </c>
      <c r="Q57" s="388"/>
      <c r="R57" s="389"/>
      <c r="S57" s="390" t="s">
        <v>422</v>
      </c>
      <c r="T57" s="391"/>
      <c r="U57" s="392" t="s">
        <v>2200</v>
      </c>
      <c r="V57" s="393"/>
      <c r="W57" s="372" t="s">
        <v>197</v>
      </c>
      <c r="X57" s="380"/>
      <c r="Y57" s="380"/>
      <c r="Z57" s="380"/>
      <c r="AA57" s="380"/>
      <c r="AB57" s="373"/>
      <c r="AC57" s="92"/>
      <c r="AD57" s="141"/>
      <c r="AE57" s="118"/>
      <c r="AF57" s="90"/>
      <c r="AG57" s="90"/>
      <c r="AI57" s="90"/>
      <c r="AJ57" s="119"/>
      <c r="AK57" s="119"/>
      <c r="AL57" s="119"/>
      <c r="AM57" s="123"/>
      <c r="AN57" s="121"/>
      <c r="AO57" s="121"/>
      <c r="AP57" s="140"/>
    </row>
    <row r="58" spans="1:44" ht="12" customHeight="1" thickBot="1" x14ac:dyDescent="0.3">
      <c r="A58" s="188"/>
      <c r="B58" s="405"/>
      <c r="C58" s="179" t="str">
        <f>IF(B56&lt;&gt;"",(VLOOKUP(B56,Waypoints!A2:AZ4996,7,FALSE)),"")</f>
        <v/>
      </c>
      <c r="D58" s="180" t="str">
        <f>IF(B56&lt;&gt;"",(VLOOKUP(B56,Waypoints!A2:AZ4996,8,FALSE)),"")</f>
        <v/>
      </c>
      <c r="E58" s="180" t="str">
        <f>IF(B56&lt;&gt;"",(VLOOKUP(B56,Waypoints!A2:AZ4996,9,FALSE)),"")</f>
        <v/>
      </c>
      <c r="F58" s="180" t="str">
        <f>IF(B56&lt;&gt;"",(VLOOKUP(B56,Waypoints!A2:AZ4996,10,FALSE)),"")</f>
        <v/>
      </c>
      <c r="G58" s="180" t="str">
        <f>IF(B56&lt;&gt;"",(VLOOKUP(B56,Waypoints!A2:AZ4996,11,FALSE)),"")</f>
        <v/>
      </c>
      <c r="H58" s="180" t="str">
        <f>IF(B56&lt;&gt;"",(VLOOKUP(B56,Waypoints!A2:AZ4996,12,FALSE)),"")</f>
        <v/>
      </c>
      <c r="I58" s="180" t="str">
        <f>IF(B56&lt;&gt;"",(VLOOKUP(B56,Waypoints!A2:AZ4996,13,FALSE)),"")</f>
        <v/>
      </c>
      <c r="J58" s="181" t="str">
        <f>IF(B56&lt;&gt;"",(VLOOKUP(B56,Waypoints!A2:AZ4996,14,FALSE)),"")</f>
        <v/>
      </c>
      <c r="K58" s="414"/>
      <c r="L58" s="415"/>
      <c r="M58" s="361" t="str">
        <f>IF(M56&lt;&gt;"",M56+M51,"")</f>
        <v/>
      </c>
      <c r="N58" s="419"/>
      <c r="O58" s="362"/>
      <c r="P58" s="183" t="str">
        <f>IF(P56&lt;&gt;"",TRUNC(AF56/60),"")</f>
        <v/>
      </c>
      <c r="Q58" s="182" t="s">
        <v>199</v>
      </c>
      <c r="R58" s="184" t="str">
        <f>IF(R56&lt;&gt;"",AF56-TRUNC(P58)*60,"")</f>
        <v/>
      </c>
      <c r="S58" s="368" t="str">
        <f>IF(S56&lt;&gt;"",S56+S51,"")</f>
        <v/>
      </c>
      <c r="T58" s="369"/>
      <c r="U58" s="370"/>
      <c r="V58" s="371"/>
      <c r="W58" s="374"/>
      <c r="X58" s="375"/>
      <c r="Y58" s="375"/>
      <c r="Z58" s="375"/>
      <c r="AA58" s="375"/>
      <c r="AB58" s="376"/>
      <c r="AC58" s="92"/>
      <c r="AD58" s="141"/>
      <c r="AE58" s="124"/>
      <c r="AF58" s="102"/>
      <c r="AG58" s="90"/>
      <c r="AI58" s="90"/>
      <c r="AJ58" s="90"/>
      <c r="AK58" s="90"/>
      <c r="AL58" s="90">
        <f>IF(U58&lt;&gt;"",10,0)</f>
        <v>0</v>
      </c>
      <c r="AM58" s="142"/>
      <c r="AN58" s="140"/>
      <c r="AO58" s="126">
        <f>U58</f>
        <v>0</v>
      </c>
      <c r="AP58" s="140"/>
    </row>
    <row r="59" spans="1:44" ht="6.9" customHeight="1" x14ac:dyDescent="0.25">
      <c r="A59" s="188"/>
      <c r="B59" s="405"/>
      <c r="C59" s="381" t="s">
        <v>2899</v>
      </c>
      <c r="D59" s="382"/>
      <c r="E59" s="382"/>
      <c r="F59" s="382"/>
      <c r="G59" s="382"/>
      <c r="H59" s="383"/>
      <c r="I59" s="377" t="s">
        <v>174</v>
      </c>
      <c r="J59" s="379"/>
      <c r="K59" s="372" t="s">
        <v>2588</v>
      </c>
      <c r="L59" s="373"/>
      <c r="M59" s="372" t="s">
        <v>423</v>
      </c>
      <c r="N59" s="380"/>
      <c r="O59" s="380"/>
      <c r="P59" s="380"/>
      <c r="Q59" s="373"/>
      <c r="R59" s="377" t="s">
        <v>195</v>
      </c>
      <c r="S59" s="378"/>
      <c r="T59" s="379"/>
      <c r="U59" s="372" t="s">
        <v>1291</v>
      </c>
      <c r="V59" s="373"/>
      <c r="W59" s="372" t="s">
        <v>123</v>
      </c>
      <c r="X59" s="380"/>
      <c r="Y59" s="380"/>
      <c r="Z59" s="380"/>
      <c r="AA59" s="380"/>
      <c r="AB59" s="373"/>
      <c r="AC59" s="92"/>
      <c r="AD59" s="141"/>
      <c r="AE59" s="124"/>
      <c r="AF59" s="102"/>
      <c r="AG59" s="90"/>
      <c r="AI59" s="90"/>
      <c r="AJ59" s="90"/>
      <c r="AK59" s="90"/>
      <c r="AL59" s="90"/>
      <c r="AM59" s="125"/>
      <c r="AN59" s="140"/>
      <c r="AO59" s="140"/>
      <c r="AP59" s="140"/>
    </row>
    <row r="60" spans="1:44" ht="12" customHeight="1" thickBot="1" x14ac:dyDescent="0.3">
      <c r="A60" s="188"/>
      <c r="B60" s="406"/>
      <c r="C60" s="420" t="str">
        <f>IF(B56&lt;&gt;"",(VLOOKUP(B56,Waypoints!A2:AZ4996,5,FALSE)),"")</f>
        <v/>
      </c>
      <c r="D60" s="421"/>
      <c r="E60" s="421"/>
      <c r="F60" s="421"/>
      <c r="G60" s="421"/>
      <c r="H60" s="422"/>
      <c r="I60" s="423" t="str">
        <f>IF(B56&lt;&gt;"",(VLOOKUP(B56,Waypoints!A2:AZ4996,4,FALSE)),"")</f>
        <v/>
      </c>
      <c r="J60" s="424"/>
      <c r="K60" s="423" t="str">
        <f>IF(B56&lt;&gt;"",(VLOOKUP(B56,Waypoints!A2:AZ4996,16,FALSE)),"")</f>
        <v/>
      </c>
      <c r="L60" s="424"/>
      <c r="M60" s="425" t="str">
        <f>IF(B56&lt;&gt;"",(VLOOKUP(B56,Waypoints!A2:AZ4996,17,FALSE)),"")</f>
        <v/>
      </c>
      <c r="N60" s="426"/>
      <c r="O60" s="426"/>
      <c r="P60" s="426"/>
      <c r="Q60" s="427"/>
      <c r="R60" s="358" t="str">
        <f>IF(B56&lt;&gt;"",(VLOOKUP(B56,Waypoints!A2:AZ4996,18,FALSE)),"")</f>
        <v/>
      </c>
      <c r="S60" s="359"/>
      <c r="T60" s="360"/>
      <c r="U60" s="361" t="str">
        <f>IF(B56&lt;&gt;"",(VLOOKUP(B56,Waypoints!A2:AZ4996,19,FALSE)),"")</f>
        <v/>
      </c>
      <c r="V60" s="362"/>
      <c r="W60" s="358" t="str">
        <f>IF(B56&lt;&gt;"",(VLOOKUP(B56,Waypoints!A2:AZ4996,20,FALSE)),"")</f>
        <v/>
      </c>
      <c r="X60" s="359"/>
      <c r="Y60" s="359"/>
      <c r="Z60" s="359"/>
      <c r="AA60" s="359"/>
      <c r="AB60" s="360"/>
      <c r="AC60" s="92"/>
      <c r="AD60" s="127"/>
      <c r="AE60" s="118"/>
      <c r="AF60" s="90"/>
      <c r="AG60" s="90"/>
      <c r="AH60" s="90" t="str">
        <f>IF(M60&lt;&gt;"",AJ60,"")</f>
        <v/>
      </c>
      <c r="AI60" s="90">
        <f>LEN(M60)</f>
        <v>0</v>
      </c>
      <c r="AJ60" s="90" t="e">
        <f>VALUE(MID(M60,1,AI60-3))</f>
        <v>#VALUE!</v>
      </c>
      <c r="AK60" s="90"/>
      <c r="AL60" s="90"/>
      <c r="AM60" s="142"/>
      <c r="AN60" s="140"/>
      <c r="AO60" s="140"/>
      <c r="AP60" s="140"/>
      <c r="AR60" s="92"/>
    </row>
    <row r="61" spans="1:44" ht="3" customHeight="1" thickBot="1" x14ac:dyDescent="0.3">
      <c r="A61" s="188"/>
      <c r="B61" s="190"/>
      <c r="C61" s="191"/>
      <c r="D61" s="191"/>
      <c r="E61" s="191"/>
      <c r="F61" s="191"/>
      <c r="G61" s="191"/>
      <c r="H61" s="191"/>
      <c r="I61" s="191"/>
      <c r="J61" s="191"/>
      <c r="K61" s="192"/>
      <c r="L61" s="193"/>
      <c r="M61" s="194"/>
      <c r="N61" s="194"/>
      <c r="O61" s="194"/>
      <c r="P61" s="195"/>
      <c r="Q61" s="195"/>
      <c r="R61" s="195"/>
      <c r="S61" s="196"/>
      <c r="T61" s="196"/>
      <c r="U61" s="194"/>
      <c r="V61" s="194"/>
      <c r="W61" s="194"/>
      <c r="X61" s="194"/>
      <c r="Y61" s="194"/>
      <c r="Z61" s="197"/>
      <c r="AA61" s="197"/>
      <c r="AB61" s="197"/>
      <c r="AC61" s="92"/>
      <c r="AD61" s="141"/>
      <c r="AE61" s="118"/>
      <c r="AF61" s="90"/>
      <c r="AG61" s="90"/>
      <c r="AI61" s="90"/>
      <c r="AJ61" s="90"/>
      <c r="AK61" s="90"/>
      <c r="AL61" s="90"/>
      <c r="AM61" s="128"/>
      <c r="AN61" s="140"/>
      <c r="AO61" s="140"/>
      <c r="AP61" s="140"/>
    </row>
    <row r="62" spans="1:44" ht="6.9" customHeight="1" x14ac:dyDescent="0.25">
      <c r="A62" s="188"/>
      <c r="B62" s="209" t="s">
        <v>1932</v>
      </c>
      <c r="C62" s="209" t="s">
        <v>419</v>
      </c>
      <c r="D62" s="433" t="s">
        <v>2900</v>
      </c>
      <c r="E62" s="434"/>
      <c r="F62" s="434"/>
      <c r="G62" s="434"/>
      <c r="H62" s="434"/>
      <c r="I62" s="434"/>
      <c r="J62" s="435"/>
      <c r="K62" s="363" t="s">
        <v>420</v>
      </c>
      <c r="L62" s="365"/>
      <c r="M62" s="363" t="s">
        <v>2331</v>
      </c>
      <c r="N62" s="364"/>
      <c r="O62" s="222" t="str">
        <f>G5</f>
        <v>Km</v>
      </c>
      <c r="P62" s="363" t="s">
        <v>1306</v>
      </c>
      <c r="Q62" s="364"/>
      <c r="R62" s="365"/>
      <c r="S62" s="366" t="s">
        <v>421</v>
      </c>
      <c r="T62" s="367"/>
      <c r="U62" s="211" t="s">
        <v>2333</v>
      </c>
      <c r="V62" s="210" t="str">
        <f>Z5</f>
        <v>Km/h</v>
      </c>
      <c r="W62" s="366" t="s">
        <v>2330</v>
      </c>
      <c r="X62" s="428"/>
      <c r="Y62" s="367"/>
      <c r="Z62" s="429" t="s">
        <v>196</v>
      </c>
      <c r="AA62" s="430"/>
      <c r="AB62" s="222" t="str">
        <f>N5</f>
        <v>Ft</v>
      </c>
      <c r="AC62" s="92"/>
      <c r="AD62" s="141"/>
      <c r="AE62" s="90"/>
      <c r="AF62" s="90"/>
      <c r="AG62" s="90"/>
      <c r="AI62" s="90"/>
      <c r="AJ62" s="90"/>
      <c r="AK62" s="90"/>
      <c r="AL62" s="90"/>
      <c r="AM62" s="128"/>
      <c r="AN62" s="140"/>
      <c r="AO62" s="140"/>
      <c r="AP62" s="140"/>
    </row>
    <row r="63" spans="1:44" ht="12" customHeight="1" thickBot="1" x14ac:dyDescent="0.3">
      <c r="A63" s="188"/>
      <c r="B63" s="436"/>
      <c r="C63" s="189" t="str">
        <f>IF(B63&lt;&gt;"",(VLOOKUP(B63,Waypoints!A2:AZ4996,2,FALSE)),"")</f>
        <v/>
      </c>
      <c r="D63" s="407" t="str">
        <f>IF(AND(B63&lt;&gt;"",N(AH67&gt;=Z11)),(VLOOKUP(B63,Waypoints!A2:AZ4996,6,FALSE)),AJ63)</f>
        <v/>
      </c>
      <c r="E63" s="408"/>
      <c r="F63" s="408"/>
      <c r="G63" s="408"/>
      <c r="H63" s="408"/>
      <c r="I63" s="408"/>
      <c r="J63" s="409"/>
      <c r="K63" s="410" t="str">
        <f>IF(B63&lt;&gt;"",Calcoli!J10,"")</f>
        <v/>
      </c>
      <c r="L63" s="411"/>
      <c r="M63" s="416" t="str">
        <f>IF(B63&lt;&gt;"",Calcoli!K10/AE5,"")</f>
        <v/>
      </c>
      <c r="N63" s="417"/>
      <c r="O63" s="418"/>
      <c r="P63" s="311" t="str">
        <f>IF(M63&lt;&gt;"",TRUNC((AD63+AL65)/60),"")</f>
        <v/>
      </c>
      <c r="Q63" s="220" t="s">
        <v>199</v>
      </c>
      <c r="R63" s="312" t="str">
        <f>IF(M63&lt;&gt;"",AD63-TRUNC(P63)*60,"")</f>
        <v/>
      </c>
      <c r="S63" s="431" t="str">
        <f>IF(M63&lt;&gt;"",CEILING(P63*L11+R63*L11/60,0.1),"")</f>
        <v/>
      </c>
      <c r="T63" s="432"/>
      <c r="U63" s="396"/>
      <c r="V63" s="397"/>
      <c r="W63" s="398"/>
      <c r="X63" s="399"/>
      <c r="Y63" s="400"/>
      <c r="Z63" s="401" t="str">
        <f>IF(B63&lt;&gt;"",(VLOOKUP(B63,Waypoints!A2:AZ4996,AF5,FALSE)),"")</f>
        <v/>
      </c>
      <c r="AA63" s="402"/>
      <c r="AB63" s="403"/>
      <c r="AC63" s="127"/>
      <c r="AD63" s="104">
        <f>IF(B63&lt;&gt;"",ROUNDUP(M63/U63*60,0),0)</f>
        <v>0</v>
      </c>
      <c r="AE63" s="118">
        <f>IF(B63&lt;&gt;"",M63*U63,0)</f>
        <v>0</v>
      </c>
      <c r="AF63" s="102">
        <f>AF56+AD63+AL65</f>
        <v>0</v>
      </c>
      <c r="AG63" s="90">
        <f>IF(B63&lt;&gt;"",1,0)</f>
        <v>0</v>
      </c>
      <c r="AI63" s="90"/>
      <c r="AJ63" s="384" t="str">
        <f>IF(N(AH67)=0,"",IF(N(AH67)&gt;=Z11,"","PISTA TROPPO CORTA"))</f>
        <v/>
      </c>
      <c r="AK63" s="384"/>
      <c r="AL63" s="90"/>
      <c r="AM63" s="120">
        <f>W63</f>
        <v>0</v>
      </c>
      <c r="AN63" s="118" t="str">
        <f>M63</f>
        <v/>
      </c>
      <c r="AO63" s="140"/>
      <c r="AP63" s="122" t="str">
        <f>S63</f>
        <v/>
      </c>
      <c r="AQ63" s="122">
        <f>W63</f>
        <v>0</v>
      </c>
    </row>
    <row r="64" spans="1:44" ht="6.9" customHeight="1" x14ac:dyDescent="0.25">
      <c r="A64" s="188"/>
      <c r="B64" s="405"/>
      <c r="C64" s="381" t="s">
        <v>173</v>
      </c>
      <c r="D64" s="382"/>
      <c r="E64" s="382"/>
      <c r="F64" s="382"/>
      <c r="G64" s="382"/>
      <c r="H64" s="382"/>
      <c r="I64" s="382"/>
      <c r="J64" s="383"/>
      <c r="K64" s="412"/>
      <c r="L64" s="413"/>
      <c r="M64" s="385" t="s">
        <v>2332</v>
      </c>
      <c r="N64" s="386"/>
      <c r="O64" s="212" t="str">
        <f>G5</f>
        <v>Km</v>
      </c>
      <c r="P64" s="387" t="s">
        <v>422</v>
      </c>
      <c r="Q64" s="388"/>
      <c r="R64" s="389"/>
      <c r="S64" s="390" t="s">
        <v>422</v>
      </c>
      <c r="T64" s="391"/>
      <c r="U64" s="392" t="s">
        <v>2200</v>
      </c>
      <c r="V64" s="393"/>
      <c r="W64" s="372" t="s">
        <v>197</v>
      </c>
      <c r="X64" s="380"/>
      <c r="Y64" s="380"/>
      <c r="Z64" s="380"/>
      <c r="AA64" s="380"/>
      <c r="AB64" s="373"/>
      <c r="AC64" s="92"/>
      <c r="AD64" s="141"/>
      <c r="AE64" s="118"/>
      <c r="AF64" s="90"/>
      <c r="AG64" s="90"/>
      <c r="AI64" s="90"/>
      <c r="AJ64" s="119"/>
      <c r="AK64" s="119"/>
      <c r="AL64" s="119"/>
      <c r="AM64" s="123"/>
      <c r="AN64" s="121"/>
      <c r="AO64" s="121"/>
      <c r="AP64" s="140"/>
    </row>
    <row r="65" spans="1:44" ht="12" customHeight="1" thickBot="1" x14ac:dyDescent="0.3">
      <c r="A65" s="188"/>
      <c r="B65" s="405"/>
      <c r="C65" s="179" t="str">
        <f>IF(B63&lt;&gt;"",(VLOOKUP(B63,Waypoints!A2:AZ4996,7,FALSE)),"")</f>
        <v/>
      </c>
      <c r="D65" s="180" t="str">
        <f>IF(B63&lt;&gt;"",(VLOOKUP(B63,Waypoints!A2:AZ4996,8,FALSE)),"")</f>
        <v/>
      </c>
      <c r="E65" s="180" t="str">
        <f>IF(B63&lt;&gt;"",(VLOOKUP(B63,Waypoints!A2:AZ4996,9,FALSE)),"")</f>
        <v/>
      </c>
      <c r="F65" s="180" t="str">
        <f>IF(B63&lt;&gt;"",(VLOOKUP(B63,Waypoints!A2:AZ4996,10,FALSE)),"")</f>
        <v/>
      </c>
      <c r="G65" s="180" t="str">
        <f>IF(B63&lt;&gt;"",(VLOOKUP(B63,Waypoints!A2:AZ4996,11,FALSE)),"")</f>
        <v/>
      </c>
      <c r="H65" s="180" t="str">
        <f>IF(B63&lt;&gt;"",(VLOOKUP(B63,Waypoints!A2:AZ4996,12,FALSE)),"")</f>
        <v/>
      </c>
      <c r="I65" s="180" t="str">
        <f>IF(B63&lt;&gt;"",(VLOOKUP(B63,Waypoints!A2:AZ4996,13,FALSE)),"")</f>
        <v/>
      </c>
      <c r="J65" s="181" t="str">
        <f>IF(B63&lt;&gt;"",(VLOOKUP(B63,Waypoints!A2:AZ4996,14,FALSE)),"")</f>
        <v/>
      </c>
      <c r="K65" s="414"/>
      <c r="L65" s="415"/>
      <c r="M65" s="361" t="str">
        <f>IF(M63&lt;&gt;"",M63+M58,"")</f>
        <v/>
      </c>
      <c r="N65" s="419"/>
      <c r="O65" s="362"/>
      <c r="P65" s="183" t="str">
        <f>IF(P63&lt;&gt;"",TRUNC(AF63/60),"")</f>
        <v/>
      </c>
      <c r="Q65" s="182" t="s">
        <v>199</v>
      </c>
      <c r="R65" s="184" t="str">
        <f>IF(R63&lt;&gt;"",AF63-TRUNC(P65)*60,"")</f>
        <v/>
      </c>
      <c r="S65" s="368" t="str">
        <f>IF(S63&lt;&gt;"",S58+S63,"")</f>
        <v/>
      </c>
      <c r="T65" s="369"/>
      <c r="U65" s="370"/>
      <c r="V65" s="371"/>
      <c r="W65" s="374"/>
      <c r="X65" s="375"/>
      <c r="Y65" s="375"/>
      <c r="Z65" s="375"/>
      <c r="AA65" s="375"/>
      <c r="AB65" s="376"/>
      <c r="AC65" s="92"/>
      <c r="AD65" s="141"/>
      <c r="AE65" s="124"/>
      <c r="AF65" s="99"/>
      <c r="AG65" s="90"/>
      <c r="AI65" s="90"/>
      <c r="AJ65" s="90"/>
      <c r="AK65" s="90"/>
      <c r="AL65" s="90">
        <f>IF(U65&lt;&gt;"",10,0)</f>
        <v>0</v>
      </c>
      <c r="AM65" s="142"/>
      <c r="AN65" s="140"/>
      <c r="AO65" s="126">
        <f>U65</f>
        <v>0</v>
      </c>
      <c r="AP65" s="140"/>
    </row>
    <row r="66" spans="1:44" ht="6.9" customHeight="1" x14ac:dyDescent="0.25">
      <c r="A66" s="188"/>
      <c r="B66" s="405"/>
      <c r="C66" s="381" t="s">
        <v>2899</v>
      </c>
      <c r="D66" s="382"/>
      <c r="E66" s="382"/>
      <c r="F66" s="382"/>
      <c r="G66" s="382"/>
      <c r="H66" s="383"/>
      <c r="I66" s="377" t="s">
        <v>174</v>
      </c>
      <c r="J66" s="379"/>
      <c r="K66" s="372" t="s">
        <v>2588</v>
      </c>
      <c r="L66" s="373"/>
      <c r="M66" s="372" t="s">
        <v>423</v>
      </c>
      <c r="N66" s="380"/>
      <c r="O66" s="380"/>
      <c r="P66" s="380"/>
      <c r="Q66" s="373"/>
      <c r="R66" s="377" t="s">
        <v>195</v>
      </c>
      <c r="S66" s="378"/>
      <c r="T66" s="379"/>
      <c r="U66" s="372" t="s">
        <v>1291</v>
      </c>
      <c r="V66" s="373"/>
      <c r="W66" s="372" t="s">
        <v>123</v>
      </c>
      <c r="X66" s="380"/>
      <c r="Y66" s="380"/>
      <c r="Z66" s="380"/>
      <c r="AA66" s="380"/>
      <c r="AB66" s="373"/>
      <c r="AC66" s="92"/>
      <c r="AD66" s="141"/>
      <c r="AE66" s="124"/>
      <c r="AF66" s="102"/>
      <c r="AG66" s="90"/>
      <c r="AI66" s="90"/>
      <c r="AJ66" s="90"/>
      <c r="AK66" s="90"/>
      <c r="AL66" s="90"/>
      <c r="AM66" s="125"/>
      <c r="AN66" s="140"/>
      <c r="AO66" s="140"/>
      <c r="AP66" s="140"/>
    </row>
    <row r="67" spans="1:44" ht="12" customHeight="1" thickBot="1" x14ac:dyDescent="0.3">
      <c r="A67" s="188"/>
      <c r="B67" s="406"/>
      <c r="C67" s="420" t="str">
        <f>IF(B63&lt;&gt;"",(VLOOKUP(B63,Waypoints!A2:AZ4996,5,FALSE)),"")</f>
        <v/>
      </c>
      <c r="D67" s="421"/>
      <c r="E67" s="421"/>
      <c r="F67" s="421"/>
      <c r="G67" s="421"/>
      <c r="H67" s="422"/>
      <c r="I67" s="423" t="str">
        <f>IF(B63&lt;&gt;"",(VLOOKUP(B63,Waypoints!A2:AZ4996,4,FALSE)),"")</f>
        <v/>
      </c>
      <c r="J67" s="424"/>
      <c r="K67" s="423" t="str">
        <f>IF(B63&lt;&gt;"",(VLOOKUP(B63,Waypoints!A2:AZ4996,16,FALSE)),"")</f>
        <v/>
      </c>
      <c r="L67" s="424"/>
      <c r="M67" s="425" t="str">
        <f>IF(B63&lt;&gt;"",(VLOOKUP(B63,Waypoints!A2:AZ4996,17,FALSE)),"")</f>
        <v/>
      </c>
      <c r="N67" s="426"/>
      <c r="O67" s="426"/>
      <c r="P67" s="426"/>
      <c r="Q67" s="427"/>
      <c r="R67" s="358" t="str">
        <f>IF(B63&lt;&gt;"",(VLOOKUP(B63,Waypoints!A2:AZ4996,18,FALSE)),"")</f>
        <v/>
      </c>
      <c r="S67" s="359"/>
      <c r="T67" s="360"/>
      <c r="U67" s="361" t="str">
        <f>IF(B63&lt;&gt;"",(VLOOKUP(B63,Waypoints!A2:AZ4996,19,FALSE)),"")</f>
        <v/>
      </c>
      <c r="V67" s="362"/>
      <c r="W67" s="358" t="str">
        <f>IF(B63&lt;&gt;"",(VLOOKUP(B63,Waypoints!A2:AZ4996,20,FALSE)),"")</f>
        <v/>
      </c>
      <c r="X67" s="359"/>
      <c r="Y67" s="359"/>
      <c r="Z67" s="359"/>
      <c r="AA67" s="359"/>
      <c r="AB67" s="360"/>
      <c r="AC67" s="92"/>
      <c r="AD67" s="127"/>
      <c r="AE67" s="94"/>
      <c r="AF67" s="130"/>
      <c r="AG67" s="90"/>
      <c r="AH67" s="90" t="str">
        <f>IF(M67&lt;&gt;"",AJ67,"")</f>
        <v/>
      </c>
      <c r="AI67" s="90">
        <f>LEN(M67)</f>
        <v>0</v>
      </c>
      <c r="AJ67" s="90" t="e">
        <f>VALUE(MID(M67,1,AI67-3))</f>
        <v>#VALUE!</v>
      </c>
      <c r="AK67" s="130"/>
      <c r="AL67" s="90"/>
      <c r="AM67" s="140"/>
      <c r="AN67" s="140"/>
      <c r="AO67" s="140"/>
      <c r="AP67" s="140"/>
      <c r="AR67" s="92"/>
    </row>
    <row r="68" spans="1:44" ht="3" customHeight="1" thickBot="1" x14ac:dyDescent="0.3">
      <c r="A68" s="188"/>
      <c r="AC68" s="92"/>
      <c r="AD68" s="127"/>
      <c r="AE68" s="94"/>
      <c r="AF68" s="90"/>
      <c r="AG68" s="90"/>
      <c r="AI68" s="90"/>
      <c r="AJ68" s="90"/>
      <c r="AK68" s="90"/>
      <c r="AL68" s="90"/>
      <c r="AM68" s="140"/>
      <c r="AN68" s="140"/>
      <c r="AO68" s="140"/>
      <c r="AP68" s="140"/>
    </row>
    <row r="69" spans="1:44" ht="6.9" customHeight="1" x14ac:dyDescent="0.25">
      <c r="A69" s="188"/>
      <c r="B69" s="209" t="s">
        <v>1933</v>
      </c>
      <c r="C69" s="209" t="s">
        <v>419</v>
      </c>
      <c r="D69" s="433" t="s">
        <v>2900</v>
      </c>
      <c r="E69" s="434"/>
      <c r="F69" s="434"/>
      <c r="G69" s="434"/>
      <c r="H69" s="434"/>
      <c r="I69" s="434"/>
      <c r="J69" s="435"/>
      <c r="K69" s="363" t="s">
        <v>420</v>
      </c>
      <c r="L69" s="365"/>
      <c r="M69" s="363" t="s">
        <v>2331</v>
      </c>
      <c r="N69" s="364"/>
      <c r="O69" s="222" t="str">
        <f>G5</f>
        <v>Km</v>
      </c>
      <c r="P69" s="363" t="s">
        <v>1306</v>
      </c>
      <c r="Q69" s="364"/>
      <c r="R69" s="365"/>
      <c r="S69" s="366" t="s">
        <v>421</v>
      </c>
      <c r="T69" s="367"/>
      <c r="U69" s="211" t="s">
        <v>2333</v>
      </c>
      <c r="V69" s="210" t="str">
        <f>Z5</f>
        <v>Km/h</v>
      </c>
      <c r="W69" s="366" t="s">
        <v>2330</v>
      </c>
      <c r="X69" s="428"/>
      <c r="Y69" s="367"/>
      <c r="Z69" s="429" t="s">
        <v>196</v>
      </c>
      <c r="AA69" s="430"/>
      <c r="AB69" s="222" t="str">
        <f>N5</f>
        <v>Ft</v>
      </c>
      <c r="AC69" s="92"/>
      <c r="AD69" s="141"/>
      <c r="AE69" s="90"/>
      <c r="AF69" s="90"/>
      <c r="AG69" s="90"/>
      <c r="AI69" s="90"/>
      <c r="AJ69" s="90"/>
      <c r="AK69" s="90"/>
      <c r="AL69" s="90"/>
      <c r="AM69" s="104"/>
      <c r="AN69" s="140"/>
      <c r="AO69" s="140"/>
      <c r="AP69" s="140"/>
    </row>
    <row r="70" spans="1:44" ht="12" customHeight="1" thickBot="1" x14ac:dyDescent="0.3">
      <c r="A70" s="188"/>
      <c r="B70" s="436"/>
      <c r="C70" s="189" t="str">
        <f>IF(B70&lt;&gt;"",(VLOOKUP(B70,Waypoints!A2:AZ4996,2,FALSE)),"")</f>
        <v/>
      </c>
      <c r="D70" s="407" t="str">
        <f>IF(AND(B70&lt;&gt;"",N(AH74&gt;=Z11)),(VLOOKUP(B70,Waypoints!A2:AZ4996,6,FALSE)),AJ70)</f>
        <v/>
      </c>
      <c r="E70" s="408"/>
      <c r="F70" s="408"/>
      <c r="G70" s="408"/>
      <c r="H70" s="408"/>
      <c r="I70" s="408"/>
      <c r="J70" s="409"/>
      <c r="K70" s="410" t="str">
        <f>IF(B70&lt;&gt;"",Calcoli!J11,"")</f>
        <v/>
      </c>
      <c r="L70" s="411"/>
      <c r="M70" s="416" t="str">
        <f>IF(B70&lt;&gt;"",Calcoli!K11/AE5,"")</f>
        <v/>
      </c>
      <c r="N70" s="417"/>
      <c r="O70" s="418"/>
      <c r="P70" s="311" t="str">
        <f>IF(M70&lt;&gt;"",TRUNC((AD70+AL72)/60),"")</f>
        <v/>
      </c>
      <c r="Q70" s="220" t="s">
        <v>199</v>
      </c>
      <c r="R70" s="312" t="str">
        <f>IF(M70&lt;&gt;"",AD70-TRUNC(P70)*60,"")</f>
        <v/>
      </c>
      <c r="S70" s="431" t="str">
        <f>IF(M70&lt;&gt;"",CEILING(P70*L11+R70*L11/60,0.1),"")</f>
        <v/>
      </c>
      <c r="T70" s="432"/>
      <c r="U70" s="396"/>
      <c r="V70" s="397"/>
      <c r="W70" s="398"/>
      <c r="X70" s="399"/>
      <c r="Y70" s="400"/>
      <c r="Z70" s="401" t="str">
        <f>IF(B70&lt;&gt;"",(VLOOKUP(B70,Waypoints!A2:AZ4996,AF5,FALSE)),"")</f>
        <v/>
      </c>
      <c r="AA70" s="402"/>
      <c r="AB70" s="403"/>
      <c r="AC70" s="127"/>
      <c r="AD70" s="104">
        <f>IF(B70&lt;&gt;"",ROUNDUP(M70/U70*60,0),0)</f>
        <v>0</v>
      </c>
      <c r="AE70" s="118">
        <f>IF(B70&lt;&gt;"",M70*U70,0)</f>
        <v>0</v>
      </c>
      <c r="AF70" s="102">
        <f>AF63+AD70+AL72</f>
        <v>0</v>
      </c>
      <c r="AG70" s="90">
        <f>IF(B70&lt;&gt;"",1,0)</f>
        <v>0</v>
      </c>
      <c r="AI70" s="90"/>
      <c r="AJ70" s="384" t="str">
        <f>IF(N(AH74)=0,"",IF(N(AH74)&gt;=Z11,"","PISTA TROPPO CORTA"))</f>
        <v/>
      </c>
      <c r="AK70" s="384"/>
      <c r="AL70" s="90"/>
      <c r="AM70" s="120">
        <f>W70</f>
        <v>0</v>
      </c>
      <c r="AN70" s="118" t="str">
        <f>M70</f>
        <v/>
      </c>
      <c r="AO70" s="121"/>
      <c r="AP70" s="122" t="str">
        <f>S70</f>
        <v/>
      </c>
      <c r="AQ70" s="122">
        <f>W70</f>
        <v>0</v>
      </c>
    </row>
    <row r="71" spans="1:44" ht="6.9" customHeight="1" x14ac:dyDescent="0.25">
      <c r="A71" s="188"/>
      <c r="B71" s="405"/>
      <c r="C71" s="381" t="s">
        <v>173</v>
      </c>
      <c r="D71" s="382"/>
      <c r="E71" s="382"/>
      <c r="F71" s="382"/>
      <c r="G71" s="382"/>
      <c r="H71" s="382"/>
      <c r="I71" s="382"/>
      <c r="J71" s="383"/>
      <c r="K71" s="412"/>
      <c r="L71" s="413"/>
      <c r="M71" s="385" t="s">
        <v>2332</v>
      </c>
      <c r="N71" s="386"/>
      <c r="O71" s="212" t="str">
        <f>G5</f>
        <v>Km</v>
      </c>
      <c r="P71" s="387" t="s">
        <v>422</v>
      </c>
      <c r="Q71" s="388"/>
      <c r="R71" s="389"/>
      <c r="S71" s="390" t="s">
        <v>422</v>
      </c>
      <c r="T71" s="391"/>
      <c r="U71" s="392" t="s">
        <v>2200</v>
      </c>
      <c r="V71" s="393"/>
      <c r="W71" s="372" t="s">
        <v>197</v>
      </c>
      <c r="X71" s="380"/>
      <c r="Y71" s="380"/>
      <c r="Z71" s="380"/>
      <c r="AA71" s="380"/>
      <c r="AB71" s="373"/>
      <c r="AC71" s="92"/>
      <c r="AD71" s="141"/>
      <c r="AE71" s="118"/>
      <c r="AF71" s="90"/>
      <c r="AG71" s="90"/>
      <c r="AI71" s="90"/>
      <c r="AJ71" s="119"/>
      <c r="AK71" s="119"/>
      <c r="AL71" s="119"/>
      <c r="AM71" s="123"/>
      <c r="AN71" s="121"/>
      <c r="AO71" s="121"/>
      <c r="AP71" s="140"/>
    </row>
    <row r="72" spans="1:44" ht="12" customHeight="1" thickBot="1" x14ac:dyDescent="0.3">
      <c r="A72" s="188"/>
      <c r="B72" s="405"/>
      <c r="C72" s="179" t="str">
        <f>IF(B70&lt;&gt;"",(VLOOKUP(B70,Waypoints!A2:AZ4996,7,FALSE)),"")</f>
        <v/>
      </c>
      <c r="D72" s="180" t="str">
        <f>IF(B70&lt;&gt;"",(VLOOKUP(B70,Waypoints!A2:AZ4996,8,FALSE)),"")</f>
        <v/>
      </c>
      <c r="E72" s="180" t="str">
        <f>IF(B70&lt;&gt;"",(VLOOKUP(B70,Waypoints!A2:AZ4996,9,FALSE)),"")</f>
        <v/>
      </c>
      <c r="F72" s="180" t="str">
        <f>IF(B70&lt;&gt;"",(VLOOKUP(B70,Waypoints!A2:AZ4996,10,FALSE)),"")</f>
        <v/>
      </c>
      <c r="G72" s="180" t="str">
        <f>IF(B70&lt;&gt;"",(VLOOKUP(B70,Waypoints!A2:AZ4996,11,FALSE)),"")</f>
        <v/>
      </c>
      <c r="H72" s="180" t="str">
        <f>IF(B70&lt;&gt;"",(VLOOKUP(B70,Waypoints!A2:AZ4996,12,FALSE)),"")</f>
        <v/>
      </c>
      <c r="I72" s="180" t="str">
        <f>IF(B70&lt;&gt;"",(VLOOKUP(B70,Waypoints!A2:AZ4996,13,FALSE)),"")</f>
        <v/>
      </c>
      <c r="J72" s="181" t="str">
        <f>IF(B70&lt;&gt;"",(VLOOKUP(B70,Waypoints!A2:AZ4996,14,FALSE)),"")</f>
        <v/>
      </c>
      <c r="K72" s="414"/>
      <c r="L72" s="415"/>
      <c r="M72" s="361" t="str">
        <f>IF(M70&lt;&gt;"",M70+M65,"")</f>
        <v/>
      </c>
      <c r="N72" s="419"/>
      <c r="O72" s="362"/>
      <c r="P72" s="183" t="str">
        <f>IF(P70&lt;&gt;"",TRUNC(AF70/60),"")</f>
        <v/>
      </c>
      <c r="Q72" s="182" t="s">
        <v>199</v>
      </c>
      <c r="R72" s="184" t="str">
        <f>IF(R70&lt;&gt;"",AF70-TRUNC(P72)*60,"")</f>
        <v/>
      </c>
      <c r="S72" s="368" t="str">
        <f>IF(S70&lt;&gt;"",S65+S70,"")</f>
        <v/>
      </c>
      <c r="T72" s="369"/>
      <c r="U72" s="370"/>
      <c r="V72" s="371"/>
      <c r="W72" s="374"/>
      <c r="X72" s="375"/>
      <c r="Y72" s="375"/>
      <c r="Z72" s="375"/>
      <c r="AA72" s="375"/>
      <c r="AB72" s="376"/>
      <c r="AC72" s="92"/>
      <c r="AD72" s="141"/>
      <c r="AE72" s="124"/>
      <c r="AF72" s="102"/>
      <c r="AG72" s="90"/>
      <c r="AI72" s="90"/>
      <c r="AJ72" s="90"/>
      <c r="AK72" s="90"/>
      <c r="AL72" s="90">
        <f>IF(U72&lt;&gt;"",10,0)</f>
        <v>0</v>
      </c>
      <c r="AM72" s="125"/>
      <c r="AN72" s="140"/>
      <c r="AO72" s="126">
        <f>U72</f>
        <v>0</v>
      </c>
      <c r="AP72" s="140"/>
    </row>
    <row r="73" spans="1:44" ht="6.9" customHeight="1" x14ac:dyDescent="0.25">
      <c r="A73" s="188"/>
      <c r="B73" s="405"/>
      <c r="C73" s="381" t="s">
        <v>2899</v>
      </c>
      <c r="D73" s="382"/>
      <c r="E73" s="382"/>
      <c r="F73" s="382"/>
      <c r="G73" s="382"/>
      <c r="H73" s="383"/>
      <c r="I73" s="377" t="s">
        <v>174</v>
      </c>
      <c r="J73" s="379"/>
      <c r="K73" s="372" t="s">
        <v>2588</v>
      </c>
      <c r="L73" s="373"/>
      <c r="M73" s="372" t="s">
        <v>423</v>
      </c>
      <c r="N73" s="380"/>
      <c r="O73" s="380"/>
      <c r="P73" s="380"/>
      <c r="Q73" s="373"/>
      <c r="R73" s="377" t="s">
        <v>195</v>
      </c>
      <c r="S73" s="378"/>
      <c r="T73" s="379"/>
      <c r="U73" s="372" t="s">
        <v>1291</v>
      </c>
      <c r="V73" s="373"/>
      <c r="W73" s="372" t="s">
        <v>123</v>
      </c>
      <c r="X73" s="380"/>
      <c r="Y73" s="380"/>
      <c r="Z73" s="380"/>
      <c r="AA73" s="380"/>
      <c r="AB73" s="373"/>
      <c r="AC73" s="92"/>
      <c r="AD73" s="141"/>
      <c r="AE73" s="124"/>
      <c r="AF73" s="102"/>
      <c r="AG73" s="90"/>
      <c r="AI73" s="90"/>
      <c r="AJ73" s="90"/>
      <c r="AK73" s="90"/>
      <c r="AL73" s="90"/>
      <c r="AM73" s="125"/>
      <c r="AN73" s="140"/>
      <c r="AO73" s="140"/>
      <c r="AP73" s="140"/>
    </row>
    <row r="74" spans="1:44" ht="12" customHeight="1" thickBot="1" x14ac:dyDescent="0.3">
      <c r="A74" s="188"/>
      <c r="B74" s="406"/>
      <c r="C74" s="420" t="str">
        <f>IF(B70&lt;&gt;"",(VLOOKUP(B70,Waypoints!A2:AZ4996,5,FALSE)),"")</f>
        <v/>
      </c>
      <c r="D74" s="421"/>
      <c r="E74" s="421"/>
      <c r="F74" s="421"/>
      <c r="G74" s="421"/>
      <c r="H74" s="422"/>
      <c r="I74" s="423" t="str">
        <f>IF(B70&lt;&gt;"",(VLOOKUP(B70,Waypoints!A2:AZ4996,4,FALSE)),"")</f>
        <v/>
      </c>
      <c r="J74" s="424"/>
      <c r="K74" s="423" t="str">
        <f>IF(B70&lt;&gt;"",(VLOOKUP(B70,Waypoints!A2:AZ4996,16,FALSE)),"")</f>
        <v/>
      </c>
      <c r="L74" s="424"/>
      <c r="M74" s="425" t="str">
        <f>IF(B70&lt;&gt;"",(VLOOKUP(B70,Waypoints!A2:AZ4996,17,FALSE)),"")</f>
        <v/>
      </c>
      <c r="N74" s="426"/>
      <c r="O74" s="426"/>
      <c r="P74" s="426"/>
      <c r="Q74" s="427"/>
      <c r="R74" s="358" t="str">
        <f>IF(B70&lt;&gt;"",(VLOOKUP(B70,Waypoints!A2:AZ4996,18,FALSE)),"")</f>
        <v/>
      </c>
      <c r="S74" s="359"/>
      <c r="T74" s="360"/>
      <c r="U74" s="361" t="str">
        <f>IF(B70&lt;&gt;"",(VLOOKUP(B70,Waypoints!A2:AZ4996,19,FALSE)),"")</f>
        <v/>
      </c>
      <c r="V74" s="362"/>
      <c r="W74" s="358" t="str">
        <f>IF(B70&lt;&gt;"",(VLOOKUP(B70,Waypoints!A2:AZ4996,20,FALSE)),"")</f>
        <v/>
      </c>
      <c r="X74" s="359"/>
      <c r="Y74" s="359"/>
      <c r="Z74" s="359"/>
      <c r="AA74" s="359"/>
      <c r="AB74" s="360"/>
      <c r="AC74" s="92"/>
      <c r="AD74" s="127"/>
      <c r="AE74" s="118"/>
      <c r="AF74" s="90"/>
      <c r="AG74" s="90"/>
      <c r="AH74" s="90" t="str">
        <f>IF(M74&lt;&gt;"",AJ74,"")</f>
        <v/>
      </c>
      <c r="AI74" s="90">
        <f>LEN(M74)</f>
        <v>0</v>
      </c>
      <c r="AJ74" s="90" t="e">
        <f>VALUE(MID(M74,1,AI74-3))</f>
        <v>#VALUE!</v>
      </c>
      <c r="AK74" s="90"/>
      <c r="AL74" s="90"/>
      <c r="AM74" s="142"/>
      <c r="AN74" s="140"/>
      <c r="AO74" s="140"/>
      <c r="AP74" s="140"/>
      <c r="AR74" s="92"/>
    </row>
    <row r="75" spans="1:44" ht="3" customHeight="1" thickBot="1" x14ac:dyDescent="0.3">
      <c r="A75" s="188"/>
      <c r="B75" s="190"/>
      <c r="C75" s="191"/>
      <c r="D75" s="191"/>
      <c r="E75" s="191"/>
      <c r="F75" s="191"/>
      <c r="G75" s="191"/>
      <c r="H75" s="191"/>
      <c r="I75" s="191"/>
      <c r="J75" s="191"/>
      <c r="K75" s="192"/>
      <c r="L75" s="193"/>
      <c r="M75" s="194"/>
      <c r="N75" s="194"/>
      <c r="O75" s="194"/>
      <c r="P75" s="195"/>
      <c r="Q75" s="195"/>
      <c r="R75" s="195"/>
      <c r="S75" s="196"/>
      <c r="T75" s="196"/>
      <c r="U75" s="194"/>
      <c r="V75" s="194"/>
      <c r="W75" s="194"/>
      <c r="X75" s="194"/>
      <c r="Y75" s="194"/>
      <c r="Z75" s="197"/>
      <c r="AA75" s="197"/>
      <c r="AB75" s="197"/>
      <c r="AC75" s="92"/>
      <c r="AD75" s="141"/>
      <c r="AE75" s="118"/>
      <c r="AF75" s="90"/>
      <c r="AG75" s="90"/>
      <c r="AI75" s="90"/>
      <c r="AJ75" s="90"/>
      <c r="AK75" s="90"/>
      <c r="AL75" s="90"/>
      <c r="AM75" s="128"/>
      <c r="AN75" s="140"/>
      <c r="AO75" s="140"/>
      <c r="AP75" s="140"/>
    </row>
    <row r="76" spans="1:44" ht="6.9" customHeight="1" x14ac:dyDescent="0.25">
      <c r="A76" s="188"/>
      <c r="B76" s="209" t="s">
        <v>1934</v>
      </c>
      <c r="C76" s="209" t="s">
        <v>419</v>
      </c>
      <c r="D76" s="433" t="s">
        <v>2900</v>
      </c>
      <c r="E76" s="434"/>
      <c r="F76" s="434"/>
      <c r="G76" s="434"/>
      <c r="H76" s="434"/>
      <c r="I76" s="434"/>
      <c r="J76" s="435"/>
      <c r="K76" s="363" t="s">
        <v>420</v>
      </c>
      <c r="L76" s="365"/>
      <c r="M76" s="363" t="s">
        <v>2331</v>
      </c>
      <c r="N76" s="364"/>
      <c r="O76" s="222" t="str">
        <f>G5</f>
        <v>Km</v>
      </c>
      <c r="P76" s="363" t="s">
        <v>1306</v>
      </c>
      <c r="Q76" s="364"/>
      <c r="R76" s="365"/>
      <c r="S76" s="366" t="s">
        <v>421</v>
      </c>
      <c r="T76" s="367"/>
      <c r="U76" s="211" t="s">
        <v>2333</v>
      </c>
      <c r="V76" s="210" t="str">
        <f>Z5</f>
        <v>Km/h</v>
      </c>
      <c r="W76" s="366" t="s">
        <v>2330</v>
      </c>
      <c r="X76" s="428"/>
      <c r="Y76" s="367"/>
      <c r="Z76" s="429" t="s">
        <v>196</v>
      </c>
      <c r="AA76" s="430"/>
      <c r="AB76" s="222" t="str">
        <f>N5</f>
        <v>Ft</v>
      </c>
      <c r="AC76" s="92"/>
      <c r="AD76" s="141"/>
      <c r="AE76" s="90"/>
      <c r="AF76" s="90"/>
      <c r="AG76" s="90"/>
      <c r="AI76" s="90"/>
      <c r="AJ76" s="90"/>
      <c r="AK76" s="90"/>
      <c r="AL76" s="90"/>
      <c r="AM76" s="128"/>
      <c r="AN76" s="140"/>
      <c r="AO76" s="140"/>
      <c r="AP76" s="140"/>
    </row>
    <row r="77" spans="1:44" ht="12" customHeight="1" thickBot="1" x14ac:dyDescent="0.3">
      <c r="A77" s="188"/>
      <c r="B77" s="436"/>
      <c r="C77" s="189" t="str">
        <f>IF(B77&lt;&gt;"",(VLOOKUP(B77,Waypoints!A2:AZ4996,2,FALSE)),"")</f>
        <v/>
      </c>
      <c r="D77" s="407" t="str">
        <f>IF(AND(B77&lt;&gt;"",N(AH81&gt;=Z11)),(VLOOKUP(B77,Waypoints!A2:AZ4996,6,FALSE)),AJ77)</f>
        <v/>
      </c>
      <c r="E77" s="408"/>
      <c r="F77" s="408"/>
      <c r="G77" s="408"/>
      <c r="H77" s="408"/>
      <c r="I77" s="408"/>
      <c r="J77" s="409"/>
      <c r="K77" s="410" t="str">
        <f>IF(B77&lt;&gt;"",Calcoli!J12,"")</f>
        <v/>
      </c>
      <c r="L77" s="411"/>
      <c r="M77" s="416" t="str">
        <f>IF(B77&lt;&gt;"",Calcoli!K12/AE5,"")</f>
        <v/>
      </c>
      <c r="N77" s="417"/>
      <c r="O77" s="418"/>
      <c r="P77" s="311" t="str">
        <f>IF(M77&lt;&gt;"",TRUNC((AD77+AL79)/60),"")</f>
        <v/>
      </c>
      <c r="Q77" s="220" t="s">
        <v>199</v>
      </c>
      <c r="R77" s="312" t="str">
        <f>IF(M77&lt;&gt;"",AD77-TRUNC(P77)*60,"")</f>
        <v/>
      </c>
      <c r="S77" s="431" t="str">
        <f>IF(M77&lt;&gt;"",CEILING(P77*L11+R77*L11/60,0.1),"")</f>
        <v/>
      </c>
      <c r="T77" s="432"/>
      <c r="U77" s="396"/>
      <c r="V77" s="397"/>
      <c r="W77" s="398"/>
      <c r="X77" s="399"/>
      <c r="Y77" s="400"/>
      <c r="Z77" s="401" t="str">
        <f>IF(B77&lt;&gt;"",(VLOOKUP(B77,Waypoints!A2:AZ4996,AF5,FALSE)),"")</f>
        <v/>
      </c>
      <c r="AA77" s="402"/>
      <c r="AB77" s="403"/>
      <c r="AC77" s="127"/>
      <c r="AD77" s="104">
        <f>IF(B77&lt;&gt;"",ROUNDUP(M77/U77*60,0),0)</f>
        <v>0</v>
      </c>
      <c r="AE77" s="118">
        <f>IF(B77&lt;&gt;"",M77*U77,0)</f>
        <v>0</v>
      </c>
      <c r="AF77" s="102">
        <f>AF70+AD77+AL79</f>
        <v>0</v>
      </c>
      <c r="AG77" s="90">
        <f>IF(B77&lt;&gt;"",1,0)</f>
        <v>0</v>
      </c>
      <c r="AH77" s="129"/>
      <c r="AI77" s="129"/>
      <c r="AJ77" s="384" t="str">
        <f>IF(N(AH81)=0,"",IF(N(AH81)&gt;=Z11,"","PISTA TROPPO CORTA"))</f>
        <v/>
      </c>
      <c r="AK77" s="384"/>
      <c r="AL77" s="90"/>
      <c r="AM77" s="120">
        <f>W77</f>
        <v>0</v>
      </c>
      <c r="AN77" s="118" t="str">
        <f>M77</f>
        <v/>
      </c>
      <c r="AO77" s="140"/>
      <c r="AP77" s="122" t="str">
        <f>S77</f>
        <v/>
      </c>
      <c r="AQ77" s="122">
        <f>W77</f>
        <v>0</v>
      </c>
    </row>
    <row r="78" spans="1:44" ht="6.9" customHeight="1" x14ac:dyDescent="0.25">
      <c r="B78" s="405"/>
      <c r="C78" s="381" t="s">
        <v>173</v>
      </c>
      <c r="D78" s="382"/>
      <c r="E78" s="382"/>
      <c r="F78" s="382"/>
      <c r="G78" s="382"/>
      <c r="H78" s="382"/>
      <c r="I78" s="382"/>
      <c r="J78" s="383"/>
      <c r="K78" s="412"/>
      <c r="L78" s="413"/>
      <c r="M78" s="385" t="s">
        <v>2332</v>
      </c>
      <c r="N78" s="386"/>
      <c r="O78" s="212" t="str">
        <f>G5</f>
        <v>Km</v>
      </c>
      <c r="P78" s="387" t="s">
        <v>422</v>
      </c>
      <c r="Q78" s="388"/>
      <c r="R78" s="389"/>
      <c r="S78" s="390" t="s">
        <v>422</v>
      </c>
      <c r="T78" s="391"/>
      <c r="U78" s="392" t="s">
        <v>2200</v>
      </c>
      <c r="V78" s="393"/>
      <c r="W78" s="372" t="s">
        <v>197</v>
      </c>
      <c r="X78" s="380"/>
      <c r="Y78" s="380"/>
      <c r="Z78" s="380"/>
      <c r="AA78" s="380"/>
      <c r="AB78" s="373"/>
      <c r="AD78" s="141"/>
      <c r="AE78" s="118"/>
      <c r="AF78" s="90"/>
      <c r="AG78" s="90"/>
      <c r="AI78" s="90"/>
      <c r="AJ78" s="119"/>
      <c r="AK78" s="119"/>
      <c r="AL78" s="119"/>
      <c r="AM78" s="123"/>
      <c r="AN78" s="121"/>
      <c r="AO78" s="121"/>
      <c r="AP78" s="140"/>
    </row>
    <row r="79" spans="1:44" ht="12" customHeight="1" thickBot="1" x14ac:dyDescent="0.3">
      <c r="A79" s="188"/>
      <c r="B79" s="405"/>
      <c r="C79" s="179" t="str">
        <f>IF(B77&lt;&gt;"",(VLOOKUP(B77,Waypoints!A2:AZ4996,7,FALSE)),"")</f>
        <v/>
      </c>
      <c r="D79" s="180" t="str">
        <f>IF(B77&lt;&gt;"",(VLOOKUP(B77,Waypoints!A2:AZ4996,8,FALSE)),"")</f>
        <v/>
      </c>
      <c r="E79" s="180" t="str">
        <f>IF(B77&lt;&gt;"",(VLOOKUP(B77,Waypoints!A2:AZ4996,9,FALSE)),"")</f>
        <v/>
      </c>
      <c r="F79" s="180" t="str">
        <f>IF(B77&lt;&gt;"",(VLOOKUP(B77,Waypoints!A2:AZ4996,10,FALSE)),"")</f>
        <v/>
      </c>
      <c r="G79" s="180" t="str">
        <f>IF(B77&lt;&gt;"",(VLOOKUP(B77,Waypoints!A2:AZ4996,11,FALSE)),"")</f>
        <v/>
      </c>
      <c r="H79" s="180" t="str">
        <f>IF(B77&lt;&gt;"",(VLOOKUP(B77,Waypoints!A2:AZ4996,12,FALSE)),"")</f>
        <v/>
      </c>
      <c r="I79" s="180" t="str">
        <f>IF(B77&lt;&gt;"",(VLOOKUP(B77,Waypoints!A2:AZ4996,13,FALSE)),"")</f>
        <v/>
      </c>
      <c r="J79" s="181" t="str">
        <f>IF(B77&lt;&gt;"",(VLOOKUP(B77,Waypoints!A2:AZ4996,14,FALSE)),"")</f>
        <v/>
      </c>
      <c r="K79" s="414"/>
      <c r="L79" s="415"/>
      <c r="M79" s="361" t="str">
        <f>IF(M77&lt;&gt;"",M77+M72,"")</f>
        <v/>
      </c>
      <c r="N79" s="419"/>
      <c r="O79" s="362"/>
      <c r="P79" s="183" t="str">
        <f>IF(P77&lt;&gt;"",TRUNC(AF77/60),"")</f>
        <v/>
      </c>
      <c r="Q79" s="182" t="s">
        <v>199</v>
      </c>
      <c r="R79" s="184" t="str">
        <f>IF(R77&lt;&gt;"",AF77-TRUNC(P79)*60,"")</f>
        <v/>
      </c>
      <c r="S79" s="368" t="str">
        <f>IF(S77&lt;&gt;"",S77+S72,"")</f>
        <v/>
      </c>
      <c r="T79" s="369"/>
      <c r="U79" s="370"/>
      <c r="V79" s="371"/>
      <c r="W79" s="374"/>
      <c r="X79" s="375"/>
      <c r="Y79" s="375"/>
      <c r="Z79" s="375"/>
      <c r="AA79" s="375"/>
      <c r="AB79" s="376"/>
      <c r="AC79" s="92"/>
      <c r="AD79" s="141"/>
      <c r="AE79" s="124"/>
      <c r="AF79" s="102"/>
      <c r="AG79" s="90"/>
      <c r="AH79" s="119"/>
      <c r="AI79" s="90"/>
      <c r="AJ79" s="90"/>
      <c r="AK79" s="90"/>
      <c r="AL79" s="90">
        <f>IF(U79&lt;&gt;"",10,0)</f>
        <v>0</v>
      </c>
      <c r="AM79" s="142"/>
      <c r="AN79" s="140"/>
      <c r="AO79" s="126">
        <f>U79</f>
        <v>0</v>
      </c>
      <c r="AP79" s="140"/>
    </row>
    <row r="80" spans="1:44" ht="6.9" customHeight="1" x14ac:dyDescent="0.25">
      <c r="A80" s="188"/>
      <c r="B80" s="405"/>
      <c r="C80" s="381" t="s">
        <v>2899</v>
      </c>
      <c r="D80" s="382"/>
      <c r="E80" s="382"/>
      <c r="F80" s="382"/>
      <c r="G80" s="382"/>
      <c r="H80" s="383"/>
      <c r="I80" s="377" t="s">
        <v>174</v>
      </c>
      <c r="J80" s="379"/>
      <c r="K80" s="372" t="s">
        <v>2588</v>
      </c>
      <c r="L80" s="373"/>
      <c r="M80" s="372" t="s">
        <v>423</v>
      </c>
      <c r="N80" s="380"/>
      <c r="O80" s="380"/>
      <c r="P80" s="380"/>
      <c r="Q80" s="373"/>
      <c r="R80" s="377" t="s">
        <v>195</v>
      </c>
      <c r="S80" s="378"/>
      <c r="T80" s="379"/>
      <c r="U80" s="372" t="s">
        <v>1291</v>
      </c>
      <c r="V80" s="373"/>
      <c r="W80" s="372" t="s">
        <v>123</v>
      </c>
      <c r="X80" s="380"/>
      <c r="Y80" s="380"/>
      <c r="Z80" s="380"/>
      <c r="AA80" s="380"/>
      <c r="AB80" s="373"/>
      <c r="AC80" s="92"/>
      <c r="AD80" s="141"/>
      <c r="AE80" s="124"/>
      <c r="AF80" s="102"/>
      <c r="AG80" s="90"/>
      <c r="AI80" s="90"/>
      <c r="AJ80" s="90"/>
      <c r="AK80" s="90"/>
      <c r="AL80" s="90"/>
      <c r="AM80" s="125"/>
      <c r="AN80" s="140"/>
      <c r="AO80" s="140"/>
      <c r="AP80" s="140"/>
    </row>
    <row r="81" spans="1:44" ht="12" customHeight="1" thickBot="1" x14ac:dyDescent="0.3">
      <c r="A81" s="188"/>
      <c r="B81" s="406"/>
      <c r="C81" s="420" t="str">
        <f>IF(B77&lt;&gt;"",(VLOOKUP(B77,Waypoints!A2:AZ4996,5,FALSE)),"")</f>
        <v/>
      </c>
      <c r="D81" s="421"/>
      <c r="E81" s="421"/>
      <c r="F81" s="421"/>
      <c r="G81" s="421"/>
      <c r="H81" s="422"/>
      <c r="I81" s="423" t="str">
        <f>IF(B77&lt;&gt;"",(VLOOKUP(B77,Waypoints!A2:AZ4996,4,FALSE)),"")</f>
        <v/>
      </c>
      <c r="J81" s="424"/>
      <c r="K81" s="423" t="str">
        <f>IF(B77&lt;&gt;"",(VLOOKUP(B77,Waypoints!A2:AZ4996,16,FALSE)),"")</f>
        <v/>
      </c>
      <c r="L81" s="424"/>
      <c r="M81" s="425" t="str">
        <f>IF(B77&lt;&gt;"",(VLOOKUP(B77,Waypoints!A2:AZ4996,17,FALSE)),"")</f>
        <v/>
      </c>
      <c r="N81" s="426"/>
      <c r="O81" s="426"/>
      <c r="P81" s="426"/>
      <c r="Q81" s="427"/>
      <c r="R81" s="358" t="str">
        <f>IF(B77&lt;&gt;"",(VLOOKUP(B77,Waypoints!A2:AZ4996,18,FALSE)),"")</f>
        <v/>
      </c>
      <c r="S81" s="359"/>
      <c r="T81" s="360"/>
      <c r="U81" s="361" t="str">
        <f>IF(B77&lt;&gt;"",(VLOOKUP(B77,Waypoints!A2:AZ4996,19,FALSE)),"")</f>
        <v/>
      </c>
      <c r="V81" s="362"/>
      <c r="W81" s="358" t="str">
        <f>IF(B77&lt;&gt;"",(VLOOKUP(B77,Waypoints!A2:AZ4996,20,FALSE)),"")</f>
        <v/>
      </c>
      <c r="X81" s="359"/>
      <c r="Y81" s="359"/>
      <c r="Z81" s="359"/>
      <c r="AA81" s="359"/>
      <c r="AB81" s="360"/>
      <c r="AC81" s="92"/>
      <c r="AD81" s="127"/>
      <c r="AE81" s="118"/>
      <c r="AF81" s="90"/>
      <c r="AG81" s="90"/>
      <c r="AH81" s="90" t="str">
        <f>IF(M81&lt;&gt;"",AJ81,"")</f>
        <v/>
      </c>
      <c r="AI81" s="90">
        <f>LEN(M81)</f>
        <v>0</v>
      </c>
      <c r="AJ81" s="90" t="e">
        <f>VALUE(MID(M81,1,AI81-3))</f>
        <v>#VALUE!</v>
      </c>
      <c r="AK81" s="90"/>
      <c r="AL81" s="90"/>
      <c r="AM81" s="142"/>
      <c r="AN81" s="140"/>
      <c r="AO81" s="140"/>
      <c r="AP81" s="140"/>
      <c r="AR81" s="92"/>
    </row>
    <row r="82" spans="1:44" ht="3" customHeight="1" thickBot="1" x14ac:dyDescent="0.3">
      <c r="A82" s="188"/>
      <c r="B82" s="190"/>
      <c r="C82" s="191"/>
      <c r="D82" s="191"/>
      <c r="E82" s="191"/>
      <c r="F82" s="191"/>
      <c r="G82" s="191"/>
      <c r="H82" s="191"/>
      <c r="I82" s="191"/>
      <c r="J82" s="191"/>
      <c r="K82" s="192"/>
      <c r="L82" s="193"/>
      <c r="M82" s="194"/>
      <c r="N82" s="194"/>
      <c r="O82" s="194"/>
      <c r="P82" s="195"/>
      <c r="Q82" s="195"/>
      <c r="R82" s="195"/>
      <c r="S82" s="196"/>
      <c r="T82" s="196"/>
      <c r="U82" s="194"/>
      <c r="V82" s="194"/>
      <c r="W82" s="194"/>
      <c r="X82" s="194"/>
      <c r="Y82" s="194"/>
      <c r="Z82" s="197"/>
      <c r="AA82" s="197"/>
      <c r="AB82" s="197"/>
      <c r="AC82" s="92"/>
      <c r="AD82" s="141"/>
      <c r="AE82" s="118"/>
      <c r="AF82" s="90"/>
      <c r="AG82" s="90"/>
      <c r="AI82" s="90"/>
      <c r="AJ82" s="90"/>
      <c r="AK82" s="90"/>
      <c r="AL82" s="90"/>
      <c r="AM82" s="128"/>
      <c r="AN82" s="140"/>
      <c r="AO82" s="140"/>
      <c r="AP82" s="140"/>
    </row>
    <row r="83" spans="1:44" ht="6.9" customHeight="1" thickBot="1" x14ac:dyDescent="0.3">
      <c r="A83" s="188"/>
      <c r="B83" s="213" t="s">
        <v>1935</v>
      </c>
      <c r="C83" s="209" t="s">
        <v>419</v>
      </c>
      <c r="D83" s="433" t="s">
        <v>2900</v>
      </c>
      <c r="E83" s="434"/>
      <c r="F83" s="434"/>
      <c r="G83" s="434"/>
      <c r="H83" s="434"/>
      <c r="I83" s="434"/>
      <c r="J83" s="435"/>
      <c r="K83" s="363" t="s">
        <v>420</v>
      </c>
      <c r="L83" s="365"/>
      <c r="M83" s="363" t="s">
        <v>2331</v>
      </c>
      <c r="N83" s="364"/>
      <c r="O83" s="222" t="str">
        <f>G5</f>
        <v>Km</v>
      </c>
      <c r="P83" s="363" t="s">
        <v>1306</v>
      </c>
      <c r="Q83" s="364"/>
      <c r="R83" s="365"/>
      <c r="S83" s="366" t="s">
        <v>421</v>
      </c>
      <c r="T83" s="367"/>
      <c r="U83" s="211" t="s">
        <v>2333</v>
      </c>
      <c r="V83" s="210" t="str">
        <f>Z5</f>
        <v>Km/h</v>
      </c>
      <c r="W83" s="366" t="s">
        <v>2330</v>
      </c>
      <c r="X83" s="428"/>
      <c r="Y83" s="367"/>
      <c r="Z83" s="429" t="s">
        <v>196</v>
      </c>
      <c r="AA83" s="430"/>
      <c r="AB83" s="222" t="str">
        <f>N5</f>
        <v>Ft</v>
      </c>
      <c r="AC83" s="92"/>
      <c r="AD83" s="141"/>
      <c r="AE83" s="90"/>
      <c r="AF83" s="90"/>
      <c r="AG83" s="90"/>
      <c r="AI83" s="90"/>
      <c r="AJ83" s="90"/>
      <c r="AK83" s="90"/>
      <c r="AL83" s="90"/>
      <c r="AM83" s="128"/>
      <c r="AN83" s="140"/>
      <c r="AO83" s="140"/>
      <c r="AP83" s="140"/>
    </row>
    <row r="84" spans="1:44" ht="12" customHeight="1" thickBot="1" x14ac:dyDescent="0.3">
      <c r="A84" s="188"/>
      <c r="B84" s="404"/>
      <c r="C84" s="189" t="str">
        <f>IF(B84&lt;&gt;"",(VLOOKUP(B84,Waypoints!A2:AZ4996,2,FALSE)),"")</f>
        <v/>
      </c>
      <c r="D84" s="407" t="str">
        <f>IF(AND(B84&lt;&gt;"",N(AH88&gt;=Z11)),(VLOOKUP(B84,Waypoints!A2:AZ4996,6,FALSE)),AJ84)</f>
        <v/>
      </c>
      <c r="E84" s="408"/>
      <c r="F84" s="408"/>
      <c r="G84" s="408"/>
      <c r="H84" s="408"/>
      <c r="I84" s="408"/>
      <c r="J84" s="409"/>
      <c r="K84" s="410" t="str">
        <f>IF(B84&lt;&gt;"",Calcoli!J13,"")</f>
        <v/>
      </c>
      <c r="L84" s="411"/>
      <c r="M84" s="416" t="str">
        <f>IF(B84&lt;&gt;"",Calcoli!K13/AE5,"")</f>
        <v/>
      </c>
      <c r="N84" s="417"/>
      <c r="O84" s="418"/>
      <c r="P84" s="311" t="str">
        <f>IF(M84&lt;&gt;"",TRUNC((AD84+AL86)/60),"")</f>
        <v/>
      </c>
      <c r="Q84" s="220" t="s">
        <v>199</v>
      </c>
      <c r="R84" s="312" t="str">
        <f>IF(M84&lt;&gt;"",AD84-TRUNC(P84)*60,"")</f>
        <v/>
      </c>
      <c r="S84" s="431" t="str">
        <f>IF(M84&lt;&gt;"",CEILING(P84*L11+R84*L11/60,0.1),"")</f>
        <v/>
      </c>
      <c r="T84" s="432"/>
      <c r="U84" s="396"/>
      <c r="V84" s="397"/>
      <c r="W84" s="398"/>
      <c r="X84" s="399"/>
      <c r="Y84" s="400"/>
      <c r="Z84" s="401" t="str">
        <f>IF(B84&lt;&gt;"",(VLOOKUP(B84,Waypoints!A2:AZ4996,AF5,FALSE)),"")</f>
        <v/>
      </c>
      <c r="AA84" s="402"/>
      <c r="AB84" s="403"/>
      <c r="AC84" s="127"/>
      <c r="AD84" s="104">
        <f>IF(B84&lt;&gt;"",ROUNDUP(M84/U84*60,0),0)</f>
        <v>0</v>
      </c>
      <c r="AE84" s="118">
        <f>IF(B84&lt;&gt;"",M84*U84,0)</f>
        <v>0</v>
      </c>
      <c r="AF84" s="102">
        <f>AF77+AD84+AL86</f>
        <v>0</v>
      </c>
      <c r="AG84" s="90">
        <f>IF(B84&lt;&gt;"",1,0)</f>
        <v>0</v>
      </c>
      <c r="AI84" s="90"/>
      <c r="AJ84" s="384" t="str">
        <f>IF(N(AH88)=0,"",IF(N(AH88)&gt;=Z11,"","PISTA TROPPO CORTA"))</f>
        <v/>
      </c>
      <c r="AK84" s="384"/>
      <c r="AL84" s="90"/>
      <c r="AM84" s="120">
        <f>W84</f>
        <v>0</v>
      </c>
      <c r="AN84" s="118" t="str">
        <f>M84</f>
        <v/>
      </c>
      <c r="AO84" s="140"/>
      <c r="AP84" s="122" t="str">
        <f>S84</f>
        <v/>
      </c>
      <c r="AQ84" s="122">
        <f>W84</f>
        <v>0</v>
      </c>
    </row>
    <row r="85" spans="1:44" ht="6.9" customHeight="1" x14ac:dyDescent="0.25">
      <c r="A85" s="188"/>
      <c r="B85" s="405"/>
      <c r="C85" s="381" t="s">
        <v>173</v>
      </c>
      <c r="D85" s="382"/>
      <c r="E85" s="382"/>
      <c r="F85" s="382"/>
      <c r="G85" s="382"/>
      <c r="H85" s="382"/>
      <c r="I85" s="382"/>
      <c r="J85" s="383"/>
      <c r="K85" s="412"/>
      <c r="L85" s="413"/>
      <c r="M85" s="385" t="s">
        <v>2332</v>
      </c>
      <c r="N85" s="386"/>
      <c r="O85" s="212" t="str">
        <f>G5</f>
        <v>Km</v>
      </c>
      <c r="P85" s="387" t="s">
        <v>422</v>
      </c>
      <c r="Q85" s="388"/>
      <c r="R85" s="389"/>
      <c r="S85" s="390" t="s">
        <v>422</v>
      </c>
      <c r="T85" s="391"/>
      <c r="U85" s="392" t="s">
        <v>2200</v>
      </c>
      <c r="V85" s="393"/>
      <c r="W85" s="372" t="s">
        <v>197</v>
      </c>
      <c r="X85" s="380"/>
      <c r="Y85" s="380"/>
      <c r="Z85" s="380"/>
      <c r="AA85" s="380"/>
      <c r="AB85" s="373"/>
      <c r="AC85" s="92"/>
      <c r="AD85" s="141"/>
      <c r="AE85" s="118"/>
      <c r="AF85" s="90"/>
      <c r="AG85" s="90"/>
      <c r="AI85" s="90"/>
      <c r="AJ85" s="119"/>
      <c r="AK85" s="119"/>
      <c r="AL85" s="119"/>
      <c r="AM85" s="123"/>
      <c r="AN85" s="121"/>
      <c r="AO85" s="121"/>
      <c r="AP85" s="140"/>
    </row>
    <row r="86" spans="1:44" ht="12" customHeight="1" thickBot="1" x14ac:dyDescent="0.3">
      <c r="A86" s="188"/>
      <c r="B86" s="405"/>
      <c r="C86" s="179" t="str">
        <f>IF(B84&lt;&gt;"",(VLOOKUP(B84,Waypoints!A2:AZ4996,7,FALSE)),"")</f>
        <v/>
      </c>
      <c r="D86" s="180" t="str">
        <f>IF(B84&lt;&gt;"",(VLOOKUP(B84,Waypoints!A2:AZ4996,8,FALSE)),"")</f>
        <v/>
      </c>
      <c r="E86" s="180" t="str">
        <f>IF(B84&lt;&gt;"",(VLOOKUP(B84,Waypoints!A2:AZ4996,9,FALSE)),"")</f>
        <v/>
      </c>
      <c r="F86" s="180" t="str">
        <f>IF(B84&lt;&gt;"",(VLOOKUP(B84,Waypoints!A2:AZ4996,10,FALSE)),"")</f>
        <v/>
      </c>
      <c r="G86" s="180" t="str">
        <f>IF(B84&lt;&gt;"",(VLOOKUP(B84,Waypoints!A2:AZ4996,11,FALSE)),"")</f>
        <v/>
      </c>
      <c r="H86" s="180" t="str">
        <f>IF(B84&lt;&gt;"",(VLOOKUP(B84,Waypoints!A2:AZ4996,12,FALSE)),"")</f>
        <v/>
      </c>
      <c r="I86" s="180" t="str">
        <f>IF(B84&lt;&gt;"",(VLOOKUP(B84,Waypoints!A2:AZ4996,13,FALSE)),"")</f>
        <v/>
      </c>
      <c r="J86" s="181" t="str">
        <f>IF(B84&lt;&gt;"",(VLOOKUP(B84,Waypoints!A2:AZ4996,14,FALSE)),"")</f>
        <v/>
      </c>
      <c r="K86" s="414"/>
      <c r="L86" s="415"/>
      <c r="M86" s="361" t="str">
        <f>IF(M84&lt;&gt;"",M84+M79,"")</f>
        <v/>
      </c>
      <c r="N86" s="419"/>
      <c r="O86" s="362"/>
      <c r="P86" s="183" t="str">
        <f>IF(P84&lt;&gt;"",TRUNC(AF84/60),"")</f>
        <v/>
      </c>
      <c r="Q86" s="182" t="s">
        <v>199</v>
      </c>
      <c r="R86" s="184" t="str">
        <f>IF(R84&lt;&gt;"",AF84-TRUNC(P86)*60,"")</f>
        <v/>
      </c>
      <c r="S86" s="368" t="str">
        <f>IF(S84&lt;&gt;"",S84+S79,"")</f>
        <v/>
      </c>
      <c r="T86" s="369"/>
      <c r="U86" s="370"/>
      <c r="V86" s="371"/>
      <c r="W86" s="374"/>
      <c r="X86" s="375"/>
      <c r="Y86" s="375"/>
      <c r="Z86" s="375"/>
      <c r="AA86" s="375"/>
      <c r="AB86" s="376"/>
      <c r="AC86" s="92"/>
      <c r="AD86" s="141"/>
      <c r="AE86" s="124"/>
      <c r="AF86" s="102"/>
      <c r="AG86" s="90"/>
      <c r="AI86" s="90"/>
      <c r="AJ86" s="90"/>
      <c r="AK86" s="90"/>
      <c r="AL86" s="90">
        <f>IF(U86&lt;&gt;"",10,0)</f>
        <v>0</v>
      </c>
      <c r="AM86" s="142"/>
      <c r="AN86" s="140"/>
      <c r="AO86" s="126">
        <f>U86</f>
        <v>0</v>
      </c>
      <c r="AP86" s="140"/>
    </row>
    <row r="87" spans="1:44" ht="6.9" customHeight="1" x14ac:dyDescent="0.25">
      <c r="A87" s="188"/>
      <c r="B87" s="405"/>
      <c r="C87" s="381" t="s">
        <v>2899</v>
      </c>
      <c r="D87" s="382"/>
      <c r="E87" s="382"/>
      <c r="F87" s="382"/>
      <c r="G87" s="382"/>
      <c r="H87" s="383"/>
      <c r="I87" s="377" t="s">
        <v>174</v>
      </c>
      <c r="J87" s="379"/>
      <c r="K87" s="372" t="s">
        <v>2588</v>
      </c>
      <c r="L87" s="373"/>
      <c r="M87" s="372" t="s">
        <v>423</v>
      </c>
      <c r="N87" s="380"/>
      <c r="O87" s="380"/>
      <c r="P87" s="380"/>
      <c r="Q87" s="373"/>
      <c r="R87" s="377" t="s">
        <v>195</v>
      </c>
      <c r="S87" s="378"/>
      <c r="T87" s="379"/>
      <c r="U87" s="372" t="s">
        <v>1291</v>
      </c>
      <c r="V87" s="373"/>
      <c r="W87" s="372" t="s">
        <v>123</v>
      </c>
      <c r="X87" s="380"/>
      <c r="Y87" s="380"/>
      <c r="Z87" s="380"/>
      <c r="AA87" s="380"/>
      <c r="AB87" s="373"/>
      <c r="AC87" s="92"/>
      <c r="AD87" s="141"/>
      <c r="AE87" s="124"/>
      <c r="AF87" s="102"/>
      <c r="AG87" s="90"/>
      <c r="AI87" s="90"/>
      <c r="AJ87" s="90"/>
      <c r="AK87" s="90"/>
      <c r="AL87" s="90"/>
      <c r="AM87" s="125"/>
      <c r="AN87" s="140"/>
      <c r="AO87" s="140"/>
      <c r="AP87" s="140"/>
    </row>
    <row r="88" spans="1:44" ht="12" customHeight="1" thickBot="1" x14ac:dyDescent="0.3">
      <c r="A88" s="188"/>
      <c r="B88" s="406"/>
      <c r="C88" s="420" t="str">
        <f>IF(B84&lt;&gt;"",(VLOOKUP(B84,Waypoints!A2:AZ4996,5,FALSE)),"")</f>
        <v/>
      </c>
      <c r="D88" s="421"/>
      <c r="E88" s="421"/>
      <c r="F88" s="421"/>
      <c r="G88" s="421"/>
      <c r="H88" s="422"/>
      <c r="I88" s="423" t="str">
        <f>IF(B84&lt;&gt;"",(VLOOKUP(B84,Waypoints!A2:AZ4996,4,FALSE)),"")</f>
        <v/>
      </c>
      <c r="J88" s="424"/>
      <c r="K88" s="423" t="str">
        <f>IF(B84&lt;&gt;"",(VLOOKUP(B84,Waypoints!A2:AZ4996,16,FALSE)),"")</f>
        <v/>
      </c>
      <c r="L88" s="424"/>
      <c r="M88" s="425" t="str">
        <f>IF(B84&lt;&gt;"",(VLOOKUP(B84,Waypoints!A2:AZ4996,17,FALSE)),"")</f>
        <v/>
      </c>
      <c r="N88" s="426"/>
      <c r="O88" s="426"/>
      <c r="P88" s="426"/>
      <c r="Q88" s="427"/>
      <c r="R88" s="358" t="str">
        <f>IF(B84&lt;&gt;"",(VLOOKUP(B84,Waypoints!A2:AZ4996,18,FALSE)),"")</f>
        <v/>
      </c>
      <c r="S88" s="359"/>
      <c r="T88" s="360"/>
      <c r="U88" s="361" t="str">
        <f>IF(B84&lt;&gt;"",(VLOOKUP(B84,Waypoints!A2:AZ4996,19,FALSE)),"")</f>
        <v/>
      </c>
      <c r="V88" s="362"/>
      <c r="W88" s="358" t="str">
        <f>IF(B84&lt;&gt;"",(VLOOKUP(B84,Waypoints!A2:AZ4996,20,FALSE)),"")</f>
        <v/>
      </c>
      <c r="X88" s="359"/>
      <c r="Y88" s="359"/>
      <c r="Z88" s="359"/>
      <c r="AA88" s="359"/>
      <c r="AB88" s="360"/>
      <c r="AC88" s="92"/>
      <c r="AD88" s="127"/>
      <c r="AE88" s="118"/>
      <c r="AF88" s="90"/>
      <c r="AG88" s="90"/>
      <c r="AH88" s="90" t="str">
        <f>IF(M88&lt;&gt;"",AJ88,"")</f>
        <v/>
      </c>
      <c r="AI88" s="90">
        <f>LEN(M88)</f>
        <v>0</v>
      </c>
      <c r="AJ88" s="90" t="e">
        <f>VALUE(MID(M88,1,AI88-3))</f>
        <v>#VALUE!</v>
      </c>
      <c r="AK88" s="90"/>
      <c r="AL88" s="90"/>
      <c r="AM88" s="142"/>
      <c r="AN88" s="140"/>
      <c r="AO88" s="140"/>
      <c r="AP88" s="140"/>
      <c r="AR88" s="92"/>
    </row>
    <row r="89" spans="1:44" ht="3" customHeight="1" thickBot="1" x14ac:dyDescent="0.3">
      <c r="A89" s="188"/>
      <c r="B89" s="190"/>
      <c r="C89" s="191"/>
      <c r="D89" s="191"/>
      <c r="E89" s="191"/>
      <c r="F89" s="191"/>
      <c r="G89" s="191"/>
      <c r="H89" s="191"/>
      <c r="I89" s="191"/>
      <c r="J89" s="191"/>
      <c r="K89" s="192"/>
      <c r="L89" s="193"/>
      <c r="M89" s="194"/>
      <c r="N89" s="194"/>
      <c r="O89" s="194"/>
      <c r="P89" s="195"/>
      <c r="Q89" s="195"/>
      <c r="R89" s="195"/>
      <c r="S89" s="196"/>
      <c r="T89" s="196"/>
      <c r="U89" s="194"/>
      <c r="V89" s="194"/>
      <c r="W89" s="194"/>
      <c r="X89" s="194"/>
      <c r="Y89" s="194"/>
      <c r="Z89" s="197"/>
      <c r="AA89" s="197"/>
      <c r="AB89" s="197"/>
      <c r="AC89" s="92"/>
      <c r="AD89" s="141"/>
      <c r="AE89" s="118"/>
      <c r="AF89" s="90"/>
      <c r="AG89" s="90"/>
      <c r="AI89" s="90"/>
      <c r="AJ89" s="90"/>
      <c r="AK89" s="90"/>
      <c r="AL89" s="90"/>
      <c r="AM89" s="128"/>
      <c r="AN89" s="140"/>
      <c r="AO89" s="140"/>
      <c r="AP89" s="140"/>
    </row>
    <row r="90" spans="1:44" ht="6.9" customHeight="1" thickBot="1" x14ac:dyDescent="0.3">
      <c r="A90" s="188"/>
      <c r="B90" s="213" t="s">
        <v>1936</v>
      </c>
      <c r="C90" s="209" t="s">
        <v>419</v>
      </c>
      <c r="D90" s="433" t="s">
        <v>2900</v>
      </c>
      <c r="E90" s="434"/>
      <c r="F90" s="434"/>
      <c r="G90" s="434"/>
      <c r="H90" s="434"/>
      <c r="I90" s="434"/>
      <c r="J90" s="435"/>
      <c r="K90" s="363" t="s">
        <v>420</v>
      </c>
      <c r="L90" s="365"/>
      <c r="M90" s="363" t="s">
        <v>2331</v>
      </c>
      <c r="N90" s="364"/>
      <c r="O90" s="222" t="str">
        <f>G5</f>
        <v>Km</v>
      </c>
      <c r="P90" s="363" t="s">
        <v>1306</v>
      </c>
      <c r="Q90" s="364"/>
      <c r="R90" s="365"/>
      <c r="S90" s="366" t="s">
        <v>421</v>
      </c>
      <c r="T90" s="367"/>
      <c r="U90" s="211" t="s">
        <v>2333</v>
      </c>
      <c r="V90" s="210" t="str">
        <f>Z5</f>
        <v>Km/h</v>
      </c>
      <c r="W90" s="366" t="s">
        <v>2330</v>
      </c>
      <c r="X90" s="428"/>
      <c r="Y90" s="367"/>
      <c r="Z90" s="429" t="s">
        <v>196</v>
      </c>
      <c r="AA90" s="430"/>
      <c r="AB90" s="222" t="str">
        <f>N5</f>
        <v>Ft</v>
      </c>
      <c r="AC90" s="92"/>
      <c r="AD90" s="141"/>
      <c r="AE90" s="90"/>
      <c r="AF90" s="90"/>
      <c r="AG90" s="90"/>
      <c r="AI90" s="90"/>
      <c r="AJ90" s="90"/>
      <c r="AK90" s="90"/>
      <c r="AL90" s="90"/>
      <c r="AM90" s="128"/>
      <c r="AN90" s="140"/>
      <c r="AO90" s="140"/>
      <c r="AP90" s="140"/>
    </row>
    <row r="91" spans="1:44" ht="12" customHeight="1" thickBot="1" x14ac:dyDescent="0.3">
      <c r="A91" s="188"/>
      <c r="B91" s="404"/>
      <c r="C91" s="189" t="str">
        <f>IF(B91&lt;&gt;"",(VLOOKUP(B91,Waypoints!A2:AZ4996,2,FALSE)),"")</f>
        <v/>
      </c>
      <c r="D91" s="407" t="str">
        <f>IF(AND(B91&lt;&gt;"",N(AH95&gt;=Z11)),(VLOOKUP(B91,Waypoints!A2:AZ4996,6,FALSE)),AJ91)</f>
        <v/>
      </c>
      <c r="E91" s="408"/>
      <c r="F91" s="408"/>
      <c r="G91" s="408"/>
      <c r="H91" s="408"/>
      <c r="I91" s="408"/>
      <c r="J91" s="409"/>
      <c r="K91" s="410" t="str">
        <f>IF(B91&lt;&gt;"",Calcoli!J14,"")</f>
        <v/>
      </c>
      <c r="L91" s="411"/>
      <c r="M91" s="416" t="str">
        <f>IF(B91&lt;&gt;"",Calcoli!K14/AE5,"")</f>
        <v/>
      </c>
      <c r="N91" s="417"/>
      <c r="O91" s="418"/>
      <c r="P91" s="311" t="str">
        <f>IF(M91&lt;&gt;"",TRUNC((AD91+AL93)/60),"")</f>
        <v/>
      </c>
      <c r="Q91" s="220" t="s">
        <v>199</v>
      </c>
      <c r="R91" s="312" t="str">
        <f>IF(M91&lt;&gt;"",AD91-TRUNC(P91)*60,"")</f>
        <v/>
      </c>
      <c r="S91" s="431" t="str">
        <f>IF(M91&lt;&gt;"",CEILING(P91*L11+R91*L11/60,0.1),"")</f>
        <v/>
      </c>
      <c r="T91" s="432"/>
      <c r="U91" s="396"/>
      <c r="V91" s="397"/>
      <c r="W91" s="398"/>
      <c r="X91" s="399"/>
      <c r="Y91" s="400"/>
      <c r="Z91" s="401" t="str">
        <f>IF(B91&lt;&gt;"",(VLOOKUP(B91,Waypoints!A2:AZ4996,AF5,FALSE)),"")</f>
        <v/>
      </c>
      <c r="AA91" s="402"/>
      <c r="AB91" s="403"/>
      <c r="AC91" s="127"/>
      <c r="AD91" s="104">
        <f>IF(B91&lt;&gt;"",ROUNDUP(M91/U91*60,0),0)</f>
        <v>0</v>
      </c>
      <c r="AE91" s="118">
        <f>IF(B91&lt;&gt;"",M91*U91,0)</f>
        <v>0</v>
      </c>
      <c r="AF91" s="102">
        <f>AF84+AD91+AL93</f>
        <v>0</v>
      </c>
      <c r="AG91" s="90">
        <f>IF(B91&lt;&gt;"",1,0)</f>
        <v>0</v>
      </c>
      <c r="AI91" s="90"/>
      <c r="AJ91" s="384" t="str">
        <f>IF(N(AH95)=0,"",IF(N(AH95)&gt;=Z11,"","PISTA TROPPO CORTA"))</f>
        <v/>
      </c>
      <c r="AK91" s="384"/>
      <c r="AL91" s="90"/>
      <c r="AM91" s="120">
        <f>W91</f>
        <v>0</v>
      </c>
      <c r="AN91" s="118" t="str">
        <f>M91</f>
        <v/>
      </c>
      <c r="AO91" s="140"/>
      <c r="AP91" s="122" t="str">
        <f>S91</f>
        <v/>
      </c>
      <c r="AQ91" s="122">
        <f>W91</f>
        <v>0</v>
      </c>
    </row>
    <row r="92" spans="1:44" ht="6.9" customHeight="1" x14ac:dyDescent="0.25">
      <c r="A92" s="188"/>
      <c r="B92" s="405"/>
      <c r="C92" s="381" t="s">
        <v>173</v>
      </c>
      <c r="D92" s="382"/>
      <c r="E92" s="382"/>
      <c r="F92" s="382"/>
      <c r="G92" s="382"/>
      <c r="H92" s="382"/>
      <c r="I92" s="382"/>
      <c r="J92" s="383"/>
      <c r="K92" s="412"/>
      <c r="L92" s="413"/>
      <c r="M92" s="385" t="s">
        <v>2332</v>
      </c>
      <c r="N92" s="386"/>
      <c r="O92" s="212" t="str">
        <f>G5</f>
        <v>Km</v>
      </c>
      <c r="P92" s="387" t="s">
        <v>422</v>
      </c>
      <c r="Q92" s="388"/>
      <c r="R92" s="389"/>
      <c r="S92" s="390" t="s">
        <v>422</v>
      </c>
      <c r="T92" s="391"/>
      <c r="U92" s="392" t="s">
        <v>2200</v>
      </c>
      <c r="V92" s="393"/>
      <c r="W92" s="372" t="s">
        <v>197</v>
      </c>
      <c r="X92" s="380"/>
      <c r="Y92" s="380"/>
      <c r="Z92" s="380"/>
      <c r="AA92" s="380"/>
      <c r="AB92" s="373"/>
      <c r="AC92" s="92"/>
      <c r="AD92" s="141"/>
      <c r="AE92" s="223"/>
      <c r="AF92" s="90"/>
      <c r="AG92" s="90"/>
      <c r="AI92" s="90"/>
      <c r="AJ92" s="119"/>
      <c r="AK92" s="119"/>
      <c r="AL92" s="119"/>
      <c r="AM92" s="123"/>
      <c r="AN92" s="121"/>
      <c r="AO92" s="121"/>
      <c r="AP92" s="140"/>
    </row>
    <row r="93" spans="1:44" ht="12" customHeight="1" thickBot="1" x14ac:dyDescent="0.3">
      <c r="A93" s="188"/>
      <c r="B93" s="405"/>
      <c r="C93" s="179" t="str">
        <f>IF(B91&lt;&gt;"",(VLOOKUP(B91,Waypoints!A2:AZ4996,7,FALSE)),"")</f>
        <v/>
      </c>
      <c r="D93" s="180" t="str">
        <f>IF(B91&lt;&gt;"",(VLOOKUP(B91,Waypoints!A2:AZ4996,8,FALSE)),"")</f>
        <v/>
      </c>
      <c r="E93" s="180" t="str">
        <f>IF(B91&lt;&gt;"",(VLOOKUP(B91,Waypoints!A2:AZ4996,9,FALSE)),"")</f>
        <v/>
      </c>
      <c r="F93" s="180" t="str">
        <f>IF(B91&lt;&gt;"",(VLOOKUP(B91,Waypoints!A2:AZ4996,10,FALSE)),"")</f>
        <v/>
      </c>
      <c r="G93" s="180" t="str">
        <f>IF(B91&lt;&gt;"",(VLOOKUP(B91,Waypoints!A2:AZ4996,11,FALSE)),"")</f>
        <v/>
      </c>
      <c r="H93" s="180" t="str">
        <f>IF(B91&lt;&gt;"",(VLOOKUP(B91,Waypoints!A2:AZ4996,12,FALSE)),"")</f>
        <v/>
      </c>
      <c r="I93" s="180" t="str">
        <f>IF(B91&lt;&gt;"",(VLOOKUP(B91,Waypoints!A2:AZ4996,13,FALSE)),"")</f>
        <v/>
      </c>
      <c r="J93" s="181" t="str">
        <f>IF(B91&lt;&gt;"",(VLOOKUP(B91,Waypoints!A2:AZ4996,14,FALSE)),"")</f>
        <v/>
      </c>
      <c r="K93" s="414"/>
      <c r="L93" s="415"/>
      <c r="M93" s="361" t="str">
        <f>IF(M91&lt;&gt;"",M91+M86,"")</f>
        <v/>
      </c>
      <c r="N93" s="419"/>
      <c r="O93" s="362"/>
      <c r="P93" s="183" t="str">
        <f>IF(P91&lt;&gt;"",TRUNC(AF91/60),"")</f>
        <v/>
      </c>
      <c r="Q93" s="182" t="s">
        <v>199</v>
      </c>
      <c r="R93" s="184" t="str">
        <f>IF(R91&lt;&gt;"",AF91-TRUNC(P93)*60,"")</f>
        <v/>
      </c>
      <c r="S93" s="368" t="str">
        <f>IF(S91&lt;&gt;"",S91+S86,"")</f>
        <v/>
      </c>
      <c r="T93" s="369"/>
      <c r="U93" s="370"/>
      <c r="V93" s="371"/>
      <c r="W93" s="374"/>
      <c r="X93" s="375"/>
      <c r="Y93" s="375"/>
      <c r="Z93" s="375"/>
      <c r="AA93" s="375"/>
      <c r="AB93" s="376"/>
      <c r="AC93" s="92"/>
      <c r="AD93" s="141"/>
      <c r="AE93" s="124"/>
      <c r="AF93" s="102"/>
      <c r="AG93" s="90"/>
      <c r="AI93" s="90"/>
      <c r="AJ93" s="90"/>
      <c r="AK93" s="90"/>
      <c r="AL93" s="90">
        <f>IF(U93&lt;&gt;"",10,0)</f>
        <v>0</v>
      </c>
      <c r="AM93" s="142"/>
      <c r="AN93" s="140"/>
      <c r="AO93" s="126">
        <f>U93</f>
        <v>0</v>
      </c>
      <c r="AP93" s="140"/>
    </row>
    <row r="94" spans="1:44" ht="6.9" customHeight="1" x14ac:dyDescent="0.25">
      <c r="A94" s="188"/>
      <c r="B94" s="405"/>
      <c r="C94" s="381" t="s">
        <v>2899</v>
      </c>
      <c r="D94" s="382"/>
      <c r="E94" s="382"/>
      <c r="F94" s="382"/>
      <c r="G94" s="382"/>
      <c r="H94" s="383"/>
      <c r="I94" s="377" t="s">
        <v>174</v>
      </c>
      <c r="J94" s="379"/>
      <c r="K94" s="372" t="s">
        <v>2588</v>
      </c>
      <c r="L94" s="373"/>
      <c r="M94" s="372" t="s">
        <v>423</v>
      </c>
      <c r="N94" s="380"/>
      <c r="O94" s="380"/>
      <c r="P94" s="380"/>
      <c r="Q94" s="373"/>
      <c r="R94" s="377" t="s">
        <v>195</v>
      </c>
      <c r="S94" s="378"/>
      <c r="T94" s="379"/>
      <c r="U94" s="372" t="s">
        <v>1291</v>
      </c>
      <c r="V94" s="373"/>
      <c r="W94" s="372" t="s">
        <v>123</v>
      </c>
      <c r="X94" s="380"/>
      <c r="Y94" s="380"/>
      <c r="Z94" s="380"/>
      <c r="AA94" s="380"/>
      <c r="AB94" s="373"/>
      <c r="AC94" s="92"/>
      <c r="AD94" s="141"/>
      <c r="AE94" s="124"/>
      <c r="AF94" s="102"/>
      <c r="AG94" s="90"/>
      <c r="AI94" s="90"/>
      <c r="AJ94" s="90"/>
      <c r="AK94" s="90"/>
      <c r="AL94" s="90"/>
      <c r="AM94" s="125"/>
      <c r="AN94" s="140"/>
      <c r="AO94" s="140"/>
      <c r="AP94" s="140"/>
    </row>
    <row r="95" spans="1:44" ht="12" customHeight="1" thickBot="1" x14ac:dyDescent="0.3">
      <c r="A95" s="188"/>
      <c r="B95" s="406"/>
      <c r="C95" s="420" t="str">
        <f>IF(B91&lt;&gt;"",(VLOOKUP(B91,Waypoints!A2:AZ4996,5,FALSE)),"")</f>
        <v/>
      </c>
      <c r="D95" s="421"/>
      <c r="E95" s="421"/>
      <c r="F95" s="421"/>
      <c r="G95" s="421"/>
      <c r="H95" s="422"/>
      <c r="I95" s="423" t="str">
        <f>IF(B91&lt;&gt;"",(VLOOKUP(B91,Waypoints!A2:AZ4996,4,FALSE)),"")</f>
        <v/>
      </c>
      <c r="J95" s="424"/>
      <c r="K95" s="423" t="str">
        <f>IF(B91&lt;&gt;"",(VLOOKUP(B91,Waypoints!A2:AZ4996,16,FALSE)),"")</f>
        <v/>
      </c>
      <c r="L95" s="424"/>
      <c r="M95" s="425" t="str">
        <f>IF(B91&lt;&gt;"",(VLOOKUP(B91,Waypoints!A2:AZ4996,17,FALSE)),"")</f>
        <v/>
      </c>
      <c r="N95" s="426"/>
      <c r="O95" s="426"/>
      <c r="P95" s="426"/>
      <c r="Q95" s="427"/>
      <c r="R95" s="358" t="str">
        <f>IF(B91&lt;&gt;"",(VLOOKUP(B91,Waypoints!A2:AZ4996,18,FALSE)),"")</f>
        <v/>
      </c>
      <c r="S95" s="359"/>
      <c r="T95" s="360"/>
      <c r="U95" s="361" t="str">
        <f>IF(B91&lt;&gt;"",(VLOOKUP(B91,Waypoints!A2:AZ4996,19,FALSE)),"")</f>
        <v/>
      </c>
      <c r="V95" s="362"/>
      <c r="W95" s="358" t="str">
        <f>IF(B91&lt;&gt;"",(VLOOKUP(B91,Waypoints!A2:AZ4996,20,FALSE)),"")</f>
        <v/>
      </c>
      <c r="X95" s="359"/>
      <c r="Y95" s="359"/>
      <c r="Z95" s="359"/>
      <c r="AA95" s="359"/>
      <c r="AB95" s="360"/>
      <c r="AC95" s="92"/>
      <c r="AD95" s="127"/>
      <c r="AE95" s="118"/>
      <c r="AF95" s="90"/>
      <c r="AG95" s="90"/>
      <c r="AH95" s="90" t="str">
        <f>IF(M95&lt;&gt;"",AJ95,"")</f>
        <v/>
      </c>
      <c r="AI95" s="90">
        <f>LEN(M95)</f>
        <v>0</v>
      </c>
      <c r="AJ95" s="90" t="e">
        <f>VALUE(MID(M95,1,AI95-3))</f>
        <v>#VALUE!</v>
      </c>
      <c r="AK95" s="90"/>
      <c r="AL95" s="90"/>
      <c r="AM95" s="142"/>
      <c r="AN95" s="140"/>
      <c r="AO95" s="140"/>
      <c r="AP95" s="140"/>
      <c r="AR95" s="92"/>
    </row>
    <row r="96" spans="1:44" ht="3" customHeight="1" thickBot="1" x14ac:dyDescent="0.3">
      <c r="A96" s="188"/>
      <c r="B96" s="190"/>
      <c r="C96" s="191"/>
      <c r="D96" s="191"/>
      <c r="E96" s="191"/>
      <c r="F96" s="191"/>
      <c r="G96" s="191"/>
      <c r="H96" s="191"/>
      <c r="I96" s="191"/>
      <c r="J96" s="191"/>
      <c r="K96" s="192"/>
      <c r="L96" s="193"/>
      <c r="M96" s="194"/>
      <c r="N96" s="194"/>
      <c r="O96" s="194"/>
      <c r="P96" s="195"/>
      <c r="Q96" s="195"/>
      <c r="R96" s="195"/>
      <c r="S96" s="196"/>
      <c r="T96" s="196"/>
      <c r="U96" s="194"/>
      <c r="V96" s="194"/>
      <c r="W96" s="194"/>
      <c r="X96" s="194"/>
      <c r="Y96" s="194"/>
      <c r="Z96" s="197"/>
      <c r="AA96" s="197"/>
      <c r="AB96" s="197"/>
      <c r="AC96" s="92"/>
      <c r="AD96" s="141"/>
      <c r="AE96" s="118"/>
      <c r="AF96" s="90"/>
      <c r="AG96" s="90"/>
      <c r="AI96" s="90"/>
      <c r="AJ96" s="90"/>
      <c r="AK96" s="90"/>
      <c r="AL96" s="90"/>
      <c r="AM96" s="128"/>
      <c r="AN96" s="140"/>
      <c r="AO96" s="140"/>
      <c r="AP96" s="140"/>
    </row>
    <row r="97" spans="1:44" ht="6.9" customHeight="1" thickBot="1" x14ac:dyDescent="0.3">
      <c r="A97" s="188"/>
      <c r="B97" s="213" t="s">
        <v>1937</v>
      </c>
      <c r="C97" s="209" t="s">
        <v>419</v>
      </c>
      <c r="D97" s="433" t="s">
        <v>2900</v>
      </c>
      <c r="E97" s="434"/>
      <c r="F97" s="434"/>
      <c r="G97" s="434"/>
      <c r="H97" s="434"/>
      <c r="I97" s="434"/>
      <c r="J97" s="435"/>
      <c r="K97" s="363" t="s">
        <v>420</v>
      </c>
      <c r="L97" s="365"/>
      <c r="M97" s="363" t="s">
        <v>2331</v>
      </c>
      <c r="N97" s="364"/>
      <c r="O97" s="222" t="str">
        <f>G5</f>
        <v>Km</v>
      </c>
      <c r="P97" s="363" t="s">
        <v>1306</v>
      </c>
      <c r="Q97" s="364"/>
      <c r="R97" s="365"/>
      <c r="S97" s="366" t="s">
        <v>421</v>
      </c>
      <c r="T97" s="367"/>
      <c r="U97" s="211" t="s">
        <v>2333</v>
      </c>
      <c r="V97" s="210" t="str">
        <f>Z5</f>
        <v>Km/h</v>
      </c>
      <c r="W97" s="366" t="s">
        <v>2330</v>
      </c>
      <c r="X97" s="428"/>
      <c r="Y97" s="367"/>
      <c r="Z97" s="429" t="s">
        <v>196</v>
      </c>
      <c r="AA97" s="430"/>
      <c r="AB97" s="222" t="str">
        <f>N5</f>
        <v>Ft</v>
      </c>
      <c r="AC97" s="92"/>
      <c r="AD97" s="141"/>
      <c r="AE97" s="90"/>
      <c r="AF97" s="90"/>
      <c r="AG97" s="90"/>
      <c r="AI97" s="90"/>
      <c r="AJ97" s="90"/>
      <c r="AK97" s="90"/>
      <c r="AL97" s="90"/>
      <c r="AM97" s="128"/>
      <c r="AN97" s="140"/>
      <c r="AO97" s="140"/>
      <c r="AP97" s="140"/>
    </row>
    <row r="98" spans="1:44" ht="12" customHeight="1" thickBot="1" x14ac:dyDescent="0.3">
      <c r="A98" s="188"/>
      <c r="B98" s="404"/>
      <c r="C98" s="189" t="str">
        <f>IF(B98&lt;&gt;"",(VLOOKUP(B98,Waypoints!A2:AZ4996,2,FALSE)),"")</f>
        <v/>
      </c>
      <c r="D98" s="407" t="str">
        <f>IF(AND(B98&lt;&gt;"",N(AH102&gt;=Z11)),(VLOOKUP(B98,Waypoints!A2:AZ4996,6,FALSE)),AJ98)</f>
        <v/>
      </c>
      <c r="E98" s="408"/>
      <c r="F98" s="408"/>
      <c r="G98" s="408"/>
      <c r="H98" s="408"/>
      <c r="I98" s="408"/>
      <c r="J98" s="409"/>
      <c r="K98" s="410" t="str">
        <f>IF(B98&lt;&gt;"",Calcoli!J15,"")</f>
        <v/>
      </c>
      <c r="L98" s="411"/>
      <c r="M98" s="416" t="str">
        <f>IF(B98&lt;&gt;"",Calcoli!K15/AE5,"")</f>
        <v/>
      </c>
      <c r="N98" s="417"/>
      <c r="O98" s="418"/>
      <c r="P98" s="311" t="str">
        <f>IF(M98&lt;&gt;"",TRUNC((AD98+AL100)/60),"")</f>
        <v/>
      </c>
      <c r="Q98" s="220" t="s">
        <v>199</v>
      </c>
      <c r="R98" s="312" t="str">
        <f>IF(M98&lt;&gt;"",AD98-TRUNC(P98)*60,"")</f>
        <v/>
      </c>
      <c r="S98" s="431" t="str">
        <f>IF(M98&lt;&gt;"",CEILING(P98*L11+R98*L11/60,0.1),"")</f>
        <v/>
      </c>
      <c r="T98" s="432"/>
      <c r="U98" s="396"/>
      <c r="V98" s="397"/>
      <c r="W98" s="398"/>
      <c r="X98" s="399"/>
      <c r="Y98" s="400"/>
      <c r="Z98" s="401" t="str">
        <f>IF(B98&lt;&gt;"",(VLOOKUP(B98,Waypoints!A2:AZ4996,AF5,FALSE)),"")</f>
        <v/>
      </c>
      <c r="AA98" s="402"/>
      <c r="AB98" s="403"/>
      <c r="AC98" s="127"/>
      <c r="AD98" s="104">
        <f>IF(B98&lt;&gt;"",ROUNDUP(M98/U98*60,0),0)</f>
        <v>0</v>
      </c>
      <c r="AE98" s="118">
        <f>IF(B98&lt;&gt;"",M98*U98,0)</f>
        <v>0</v>
      </c>
      <c r="AF98" s="102">
        <f>AF91+AD98+AL100</f>
        <v>0</v>
      </c>
      <c r="AG98" s="90">
        <f>IF(B98&lt;&gt;"",1,0)</f>
        <v>0</v>
      </c>
      <c r="AI98" s="90"/>
      <c r="AJ98" s="384" t="str">
        <f>IF(N(AH102)=0,"",IF(N(AH102)&gt;=Z11,"","PISTA TROPPO CORTA"))</f>
        <v/>
      </c>
      <c r="AK98" s="384"/>
      <c r="AL98" s="90"/>
      <c r="AM98" s="120">
        <f>W98</f>
        <v>0</v>
      </c>
      <c r="AN98" s="118" t="str">
        <f>M98</f>
        <v/>
      </c>
      <c r="AO98" s="140"/>
      <c r="AP98" s="122" t="str">
        <f>S98</f>
        <v/>
      </c>
      <c r="AQ98" s="122">
        <f>W98</f>
        <v>0</v>
      </c>
    </row>
    <row r="99" spans="1:44" ht="6.9" customHeight="1" x14ac:dyDescent="0.25">
      <c r="A99" s="188"/>
      <c r="B99" s="405"/>
      <c r="C99" s="381" t="s">
        <v>173</v>
      </c>
      <c r="D99" s="382"/>
      <c r="E99" s="382"/>
      <c r="F99" s="382"/>
      <c r="G99" s="382"/>
      <c r="H99" s="382"/>
      <c r="I99" s="382"/>
      <c r="J99" s="383"/>
      <c r="K99" s="412"/>
      <c r="L99" s="413"/>
      <c r="M99" s="385" t="s">
        <v>2332</v>
      </c>
      <c r="N99" s="386"/>
      <c r="O99" s="212" t="str">
        <f>G5</f>
        <v>Km</v>
      </c>
      <c r="P99" s="387" t="s">
        <v>422</v>
      </c>
      <c r="Q99" s="388"/>
      <c r="R99" s="389"/>
      <c r="S99" s="390" t="s">
        <v>422</v>
      </c>
      <c r="T99" s="391"/>
      <c r="U99" s="392" t="s">
        <v>2200</v>
      </c>
      <c r="V99" s="393"/>
      <c r="W99" s="372" t="s">
        <v>197</v>
      </c>
      <c r="X99" s="380"/>
      <c r="Y99" s="380"/>
      <c r="Z99" s="380"/>
      <c r="AA99" s="380"/>
      <c r="AB99" s="373"/>
      <c r="AC99" s="92"/>
      <c r="AD99" s="141"/>
      <c r="AE99" s="118"/>
      <c r="AF99" s="90"/>
      <c r="AG99" s="90"/>
      <c r="AI99" s="90"/>
      <c r="AJ99" s="119"/>
      <c r="AK99" s="119"/>
      <c r="AL99" s="119"/>
      <c r="AM99" s="123"/>
      <c r="AN99" s="121"/>
      <c r="AO99" s="121"/>
      <c r="AP99" s="140"/>
    </row>
    <row r="100" spans="1:44" ht="12" customHeight="1" thickBot="1" x14ac:dyDescent="0.3">
      <c r="A100" s="188"/>
      <c r="B100" s="405"/>
      <c r="C100" s="179" t="str">
        <f>IF(B98&lt;&gt;"",(VLOOKUP(B98,Waypoints!A2:AZ4996,7,FALSE)),"")</f>
        <v/>
      </c>
      <c r="D100" s="180" t="str">
        <f>IF(B98&lt;&gt;"",(VLOOKUP(B98,Waypoints!A2:AZ4996,8,FALSE)),"")</f>
        <v/>
      </c>
      <c r="E100" s="180" t="str">
        <f>IF(B98&lt;&gt;"",(VLOOKUP(B98,Waypoints!A2:AZ4996,9,FALSE)),"")</f>
        <v/>
      </c>
      <c r="F100" s="180" t="str">
        <f>IF(B98&lt;&gt;"",(VLOOKUP(B98,Waypoints!A2:AZ4996,10,FALSE)),"")</f>
        <v/>
      </c>
      <c r="G100" s="180" t="str">
        <f>IF(B98&lt;&gt;"",(VLOOKUP(B98,Waypoints!A2:AZ4996,11,FALSE)),"")</f>
        <v/>
      </c>
      <c r="H100" s="180" t="str">
        <f>IF(B98&lt;&gt;"",(VLOOKUP(B98,Waypoints!A2:AZ4996,12,FALSE)),"")</f>
        <v/>
      </c>
      <c r="I100" s="180" t="str">
        <f>IF(B98&lt;&gt;"",(VLOOKUP(B98,Waypoints!A2:AZ4996,13,FALSE)),"")</f>
        <v/>
      </c>
      <c r="J100" s="181" t="str">
        <f>IF(B98&lt;&gt;"",(VLOOKUP(B98,Waypoints!A2:AZ4996,14,FALSE)),"")</f>
        <v/>
      </c>
      <c r="K100" s="414"/>
      <c r="L100" s="415"/>
      <c r="M100" s="361" t="str">
        <f>IF(M98&lt;&gt;"",M98+M93,"")</f>
        <v/>
      </c>
      <c r="N100" s="419"/>
      <c r="O100" s="362"/>
      <c r="P100" s="183" t="str">
        <f>IF(P98&lt;&gt;"",TRUNC(AF98/60),"")</f>
        <v/>
      </c>
      <c r="Q100" s="182" t="s">
        <v>199</v>
      </c>
      <c r="R100" s="184" t="str">
        <f>IF(R98&lt;&gt;"",AF98-TRUNC(P100)*60,"")</f>
        <v/>
      </c>
      <c r="S100" s="368" t="str">
        <f>IF(S98&lt;&gt;"",S98+S93,"")</f>
        <v/>
      </c>
      <c r="T100" s="369"/>
      <c r="U100" s="370"/>
      <c r="V100" s="371"/>
      <c r="W100" s="374"/>
      <c r="X100" s="375"/>
      <c r="Y100" s="375"/>
      <c r="Z100" s="375"/>
      <c r="AA100" s="375"/>
      <c r="AB100" s="376"/>
      <c r="AC100" s="92"/>
      <c r="AD100" s="141"/>
      <c r="AE100" s="124"/>
      <c r="AF100" s="102"/>
      <c r="AG100" s="90"/>
      <c r="AI100" s="90"/>
      <c r="AJ100" s="90"/>
      <c r="AK100" s="90"/>
      <c r="AL100" s="90">
        <f>IF(U100&lt;&gt;"",10,0)</f>
        <v>0</v>
      </c>
      <c r="AM100" s="142"/>
      <c r="AN100" s="140"/>
      <c r="AO100" s="126">
        <f>U100</f>
        <v>0</v>
      </c>
      <c r="AP100" s="140"/>
    </row>
    <row r="101" spans="1:44" ht="6.9" customHeight="1" x14ac:dyDescent="0.25">
      <c r="A101" s="188"/>
      <c r="B101" s="405"/>
      <c r="C101" s="381" t="s">
        <v>2899</v>
      </c>
      <c r="D101" s="382"/>
      <c r="E101" s="382"/>
      <c r="F101" s="382"/>
      <c r="G101" s="382"/>
      <c r="H101" s="383"/>
      <c r="I101" s="377" t="s">
        <v>174</v>
      </c>
      <c r="J101" s="379"/>
      <c r="K101" s="372" t="s">
        <v>2588</v>
      </c>
      <c r="L101" s="373"/>
      <c r="M101" s="372" t="s">
        <v>423</v>
      </c>
      <c r="N101" s="380"/>
      <c r="O101" s="380"/>
      <c r="P101" s="380"/>
      <c r="Q101" s="373"/>
      <c r="R101" s="377" t="s">
        <v>195</v>
      </c>
      <c r="S101" s="378"/>
      <c r="T101" s="379"/>
      <c r="U101" s="372" t="s">
        <v>1291</v>
      </c>
      <c r="V101" s="373"/>
      <c r="W101" s="372" t="s">
        <v>123</v>
      </c>
      <c r="X101" s="380"/>
      <c r="Y101" s="380"/>
      <c r="Z101" s="380"/>
      <c r="AA101" s="380"/>
      <c r="AB101" s="373"/>
      <c r="AC101" s="92"/>
      <c r="AD101" s="141"/>
      <c r="AE101" s="124"/>
      <c r="AF101" s="102"/>
      <c r="AG101" s="90"/>
      <c r="AI101" s="90"/>
      <c r="AJ101" s="90"/>
      <c r="AK101" s="90"/>
      <c r="AL101" s="90"/>
      <c r="AM101" s="125"/>
      <c r="AN101" s="140"/>
      <c r="AO101" s="140"/>
      <c r="AP101" s="140"/>
    </row>
    <row r="102" spans="1:44" ht="12" customHeight="1" thickBot="1" x14ac:dyDescent="0.3">
      <c r="A102" s="188"/>
      <c r="B102" s="406"/>
      <c r="C102" s="420" t="str">
        <f>IF(B98&lt;&gt;"",(VLOOKUP(B98,Waypoints!A2:AZ4996,5,FALSE)),"")</f>
        <v/>
      </c>
      <c r="D102" s="421"/>
      <c r="E102" s="421"/>
      <c r="F102" s="421"/>
      <c r="G102" s="421"/>
      <c r="H102" s="422"/>
      <c r="I102" s="423" t="str">
        <f>IF(B98&lt;&gt;"",(VLOOKUP(B98,Waypoints!A2:AZ4996,4,FALSE)),"")</f>
        <v/>
      </c>
      <c r="J102" s="424"/>
      <c r="K102" s="423" t="str">
        <f>IF(B98&lt;&gt;"",(VLOOKUP(B98,Waypoints!A2:AZ4996,16,FALSE)),"")</f>
        <v/>
      </c>
      <c r="L102" s="424"/>
      <c r="M102" s="425" t="str">
        <f>IF(B98&lt;&gt;"",(VLOOKUP(B98,Waypoints!A2:AZ4996,17,FALSE)),"")</f>
        <v/>
      </c>
      <c r="N102" s="426"/>
      <c r="O102" s="426"/>
      <c r="P102" s="426"/>
      <c r="Q102" s="427"/>
      <c r="R102" s="358" t="str">
        <f>IF(B98&lt;&gt;"",(VLOOKUP(B98,Waypoints!A2:AZ4996,18,FALSE)),"")</f>
        <v/>
      </c>
      <c r="S102" s="359"/>
      <c r="T102" s="360"/>
      <c r="U102" s="361" t="str">
        <f>IF(B98&lt;&gt;"",(VLOOKUP(B98,Waypoints!A2:AZ4996,19,FALSE)),"")</f>
        <v/>
      </c>
      <c r="V102" s="362"/>
      <c r="W102" s="358" t="str">
        <f>IF(B98&lt;&gt;"",(VLOOKUP(B98,Waypoints!A2:AZ4996,20,FALSE)),"")</f>
        <v/>
      </c>
      <c r="X102" s="359"/>
      <c r="Y102" s="359"/>
      <c r="Z102" s="359"/>
      <c r="AA102" s="359"/>
      <c r="AB102" s="360"/>
      <c r="AC102" s="92"/>
      <c r="AD102" s="127"/>
      <c r="AE102" s="118"/>
      <c r="AF102" s="90"/>
      <c r="AG102" s="90"/>
      <c r="AH102" s="90" t="str">
        <f>IF(M102&lt;&gt;"",AJ102,"")</f>
        <v/>
      </c>
      <c r="AI102" s="90">
        <f>LEN(M102)</f>
        <v>0</v>
      </c>
      <c r="AJ102" s="90" t="e">
        <f>VALUE(MID(M102,1,AI102-3))</f>
        <v>#VALUE!</v>
      </c>
      <c r="AK102" s="90"/>
      <c r="AL102" s="90"/>
      <c r="AM102" s="142"/>
      <c r="AN102" s="140"/>
      <c r="AO102" s="140"/>
      <c r="AP102" s="140"/>
      <c r="AR102" s="92"/>
    </row>
    <row r="103" spans="1:44" ht="3" customHeight="1" thickBot="1" x14ac:dyDescent="0.3">
      <c r="A103" s="188"/>
      <c r="B103" s="190"/>
      <c r="C103" s="191"/>
      <c r="D103" s="191"/>
      <c r="E103" s="191"/>
      <c r="F103" s="191"/>
      <c r="G103" s="191"/>
      <c r="H103" s="191"/>
      <c r="I103" s="191"/>
      <c r="J103" s="191"/>
      <c r="K103" s="192"/>
      <c r="L103" s="193"/>
      <c r="M103" s="194"/>
      <c r="N103" s="194"/>
      <c r="O103" s="194"/>
      <c r="P103" s="195"/>
      <c r="Q103" s="195"/>
      <c r="R103" s="195"/>
      <c r="S103" s="196"/>
      <c r="T103" s="196"/>
      <c r="U103" s="194"/>
      <c r="V103" s="194"/>
      <c r="W103" s="194"/>
      <c r="X103" s="194"/>
      <c r="Y103" s="194"/>
      <c r="Z103" s="197"/>
      <c r="AA103" s="197"/>
      <c r="AB103" s="197"/>
      <c r="AC103" s="92"/>
      <c r="AD103" s="141"/>
      <c r="AE103" s="118"/>
      <c r="AF103" s="90"/>
      <c r="AG103" s="90"/>
      <c r="AI103" s="90"/>
      <c r="AJ103" s="90"/>
      <c r="AK103" s="90"/>
      <c r="AL103" s="90"/>
      <c r="AM103" s="128"/>
      <c r="AN103" s="140"/>
      <c r="AO103" s="140"/>
      <c r="AP103" s="140"/>
    </row>
    <row r="104" spans="1:44" ht="6.9" customHeight="1" x14ac:dyDescent="0.25">
      <c r="A104" s="188"/>
      <c r="B104" s="209" t="s">
        <v>1938</v>
      </c>
      <c r="C104" s="209" t="s">
        <v>419</v>
      </c>
      <c r="D104" s="433" t="s">
        <v>2900</v>
      </c>
      <c r="E104" s="434"/>
      <c r="F104" s="434"/>
      <c r="G104" s="434"/>
      <c r="H104" s="434"/>
      <c r="I104" s="434"/>
      <c r="J104" s="435"/>
      <c r="K104" s="363" t="s">
        <v>420</v>
      </c>
      <c r="L104" s="365"/>
      <c r="M104" s="363" t="s">
        <v>2331</v>
      </c>
      <c r="N104" s="364"/>
      <c r="O104" s="222" t="str">
        <f>G5</f>
        <v>Km</v>
      </c>
      <c r="P104" s="363" t="s">
        <v>1306</v>
      </c>
      <c r="Q104" s="364"/>
      <c r="R104" s="365"/>
      <c r="S104" s="366" t="s">
        <v>421</v>
      </c>
      <c r="T104" s="367"/>
      <c r="U104" s="211" t="s">
        <v>2333</v>
      </c>
      <c r="V104" s="210" t="str">
        <f>Z5</f>
        <v>Km/h</v>
      </c>
      <c r="W104" s="366" t="s">
        <v>2330</v>
      </c>
      <c r="X104" s="428"/>
      <c r="Y104" s="367"/>
      <c r="Z104" s="429" t="s">
        <v>196</v>
      </c>
      <c r="AA104" s="430"/>
      <c r="AB104" s="222" t="str">
        <f>N5</f>
        <v>Ft</v>
      </c>
      <c r="AC104" s="92"/>
      <c r="AD104" s="141"/>
      <c r="AE104" s="90"/>
      <c r="AF104" s="90"/>
      <c r="AG104" s="90"/>
      <c r="AI104" s="90"/>
      <c r="AJ104" s="90"/>
      <c r="AK104" s="90"/>
      <c r="AL104" s="90"/>
      <c r="AM104" s="128"/>
      <c r="AN104" s="140"/>
      <c r="AO104" s="140"/>
      <c r="AP104" s="140"/>
    </row>
    <row r="105" spans="1:44" ht="12" customHeight="1" thickBot="1" x14ac:dyDescent="0.3">
      <c r="A105" s="188"/>
      <c r="B105" s="436"/>
      <c r="C105" s="189" t="str">
        <f>IF(B105&lt;&gt;"",(VLOOKUP(B105,Waypoints!A2:AZ4996,2,FALSE)),"")</f>
        <v/>
      </c>
      <c r="D105" s="407" t="str">
        <f>IF(AND(B105&lt;&gt;"",N(AH109&gt;=Z11)),(VLOOKUP(B105,Waypoints!A2:AZ4996,6,FALSE)),AJ105)</f>
        <v/>
      </c>
      <c r="E105" s="408"/>
      <c r="F105" s="408"/>
      <c r="G105" s="408"/>
      <c r="H105" s="408"/>
      <c r="I105" s="408"/>
      <c r="J105" s="409"/>
      <c r="K105" s="410" t="str">
        <f>IF(B105&lt;&gt;"",Calcoli!J16,"")</f>
        <v/>
      </c>
      <c r="L105" s="411"/>
      <c r="M105" s="416" t="str">
        <f>IF(B105&lt;&gt;"",Calcoli!K16/AE5,"")</f>
        <v/>
      </c>
      <c r="N105" s="417"/>
      <c r="O105" s="418"/>
      <c r="P105" s="311" t="str">
        <f>IF(M105&lt;&gt;"",TRUNC((AD105+AL107)/60),"")</f>
        <v/>
      </c>
      <c r="Q105" s="220" t="s">
        <v>199</v>
      </c>
      <c r="R105" s="312" t="str">
        <f>IF(M105&lt;&gt;"",AD105-TRUNC(P105)*60,"")</f>
        <v/>
      </c>
      <c r="S105" s="431" t="str">
        <f>IF(M105&lt;&gt;"",CEILING(P105*L11+R105*L11/60,0.1),"")</f>
        <v/>
      </c>
      <c r="T105" s="432"/>
      <c r="U105" s="396"/>
      <c r="V105" s="397"/>
      <c r="W105" s="398"/>
      <c r="X105" s="399"/>
      <c r="Y105" s="400"/>
      <c r="Z105" s="401" t="str">
        <f>IF(B105&lt;&gt;"",(VLOOKUP(B105,Waypoints!A2:AZ4996,AF5,FALSE)),"")</f>
        <v/>
      </c>
      <c r="AA105" s="402"/>
      <c r="AB105" s="403"/>
      <c r="AC105" s="127"/>
      <c r="AD105" s="104">
        <f>IF(B105&lt;&gt;"",ROUNDUP(M105/U105*60,0),0)</f>
        <v>0</v>
      </c>
      <c r="AE105" s="118">
        <f>IF(B105&lt;&gt;"",M105*U105,0)</f>
        <v>0</v>
      </c>
      <c r="AF105" s="102">
        <f>AF98+AD105+AL107</f>
        <v>0</v>
      </c>
      <c r="AG105" s="90">
        <f>IF(B105&lt;&gt;"",1,0)</f>
        <v>0</v>
      </c>
      <c r="AI105" s="90"/>
      <c r="AJ105" s="384" t="str">
        <f>IF(N(AH109)=0,"",IF(N(AH109)&gt;=Z11,"","PISTA TROPPO CORTA"))</f>
        <v/>
      </c>
      <c r="AK105" s="384"/>
      <c r="AL105" s="90"/>
      <c r="AM105" s="120">
        <f>W105</f>
        <v>0</v>
      </c>
      <c r="AN105" s="118" t="str">
        <f>M105</f>
        <v/>
      </c>
      <c r="AO105" s="140"/>
      <c r="AP105" s="122" t="str">
        <f>S105</f>
        <v/>
      </c>
      <c r="AQ105" s="122">
        <f>W105</f>
        <v>0</v>
      </c>
    </row>
    <row r="106" spans="1:44" ht="6.9" customHeight="1" x14ac:dyDescent="0.25">
      <c r="A106" s="188"/>
      <c r="B106" s="405"/>
      <c r="C106" s="381" t="s">
        <v>173</v>
      </c>
      <c r="D106" s="382"/>
      <c r="E106" s="382"/>
      <c r="F106" s="382"/>
      <c r="G106" s="382"/>
      <c r="H106" s="382"/>
      <c r="I106" s="382"/>
      <c r="J106" s="383"/>
      <c r="K106" s="412"/>
      <c r="L106" s="413"/>
      <c r="M106" s="385" t="s">
        <v>2332</v>
      </c>
      <c r="N106" s="386"/>
      <c r="O106" s="212" t="str">
        <f>G5</f>
        <v>Km</v>
      </c>
      <c r="P106" s="387" t="s">
        <v>422</v>
      </c>
      <c r="Q106" s="388"/>
      <c r="R106" s="389"/>
      <c r="S106" s="390" t="s">
        <v>422</v>
      </c>
      <c r="T106" s="391"/>
      <c r="U106" s="392" t="s">
        <v>2200</v>
      </c>
      <c r="V106" s="393"/>
      <c r="W106" s="372" t="s">
        <v>197</v>
      </c>
      <c r="X106" s="380"/>
      <c r="Y106" s="380"/>
      <c r="Z106" s="380"/>
      <c r="AA106" s="380"/>
      <c r="AB106" s="373"/>
      <c r="AC106" s="92"/>
      <c r="AD106" s="141"/>
      <c r="AE106" s="118"/>
      <c r="AF106" s="90"/>
      <c r="AG106" s="90"/>
      <c r="AI106" s="90"/>
      <c r="AJ106" s="119"/>
      <c r="AK106" s="119"/>
      <c r="AL106" s="119"/>
      <c r="AM106" s="123"/>
      <c r="AN106" s="121"/>
      <c r="AO106" s="121"/>
      <c r="AP106" s="140"/>
    </row>
    <row r="107" spans="1:44" ht="12" customHeight="1" thickBot="1" x14ac:dyDescent="0.3">
      <c r="A107" s="188"/>
      <c r="B107" s="405"/>
      <c r="C107" s="179" t="str">
        <f>IF(B105&lt;&gt;"",(VLOOKUP(B105,Waypoints!A2:AZ4996,7,FALSE)),"")</f>
        <v/>
      </c>
      <c r="D107" s="180" t="str">
        <f>IF(B105&lt;&gt;"",(VLOOKUP(B105,Waypoints!A2:AZ4996,8,FALSE)),"")</f>
        <v/>
      </c>
      <c r="E107" s="180" t="str">
        <f>IF(B105&lt;&gt;"",(VLOOKUP(B105,Waypoints!A2:AZ4996,9,FALSE)),"")</f>
        <v/>
      </c>
      <c r="F107" s="180" t="str">
        <f>IF(B105&lt;&gt;"",(VLOOKUP(B105,Waypoints!A2:AZ4996,10,FALSE)),"")</f>
        <v/>
      </c>
      <c r="G107" s="180" t="str">
        <f>IF(B105&lt;&gt;"",(VLOOKUP(B105,Waypoints!A2:AZ4996,11,FALSE)),"")</f>
        <v/>
      </c>
      <c r="H107" s="180" t="str">
        <f>IF(B105&lt;&gt;"",(VLOOKUP(B105,Waypoints!A2:AZ4996,12,FALSE)),"")</f>
        <v/>
      </c>
      <c r="I107" s="180" t="str">
        <f>IF(B105&lt;&gt;"",(VLOOKUP(B105,Waypoints!A2:AZ4996,13,FALSE)),"")</f>
        <v/>
      </c>
      <c r="J107" s="181" t="str">
        <f>IF(B105&lt;&gt;"",(VLOOKUP(B105,Waypoints!A2:AZ4996,14,FALSE)),"")</f>
        <v/>
      </c>
      <c r="K107" s="414"/>
      <c r="L107" s="415"/>
      <c r="M107" s="361" t="str">
        <f>IF(M105&lt;&gt;"",M105+M100,"")</f>
        <v/>
      </c>
      <c r="N107" s="419"/>
      <c r="O107" s="362"/>
      <c r="P107" s="183" t="str">
        <f>IF(P105&lt;&gt;"",TRUNC(AF105/60),"")</f>
        <v/>
      </c>
      <c r="Q107" s="182" t="s">
        <v>199</v>
      </c>
      <c r="R107" s="184" t="str">
        <f>IF(R105&lt;&gt;"",AF105-TRUNC(P107)*60,"")</f>
        <v/>
      </c>
      <c r="S107" s="368" t="str">
        <f>IF(S105&lt;&gt;"",S105+S100,"")</f>
        <v/>
      </c>
      <c r="T107" s="369"/>
      <c r="U107" s="370"/>
      <c r="V107" s="371"/>
      <c r="W107" s="374"/>
      <c r="X107" s="375"/>
      <c r="Y107" s="375"/>
      <c r="Z107" s="375"/>
      <c r="AA107" s="375"/>
      <c r="AB107" s="376"/>
      <c r="AC107" s="92"/>
      <c r="AD107" s="141"/>
      <c r="AE107" s="124"/>
      <c r="AF107" s="102"/>
      <c r="AG107" s="90"/>
      <c r="AI107" s="90"/>
      <c r="AJ107" s="90"/>
      <c r="AK107" s="90"/>
      <c r="AL107" s="90">
        <f>IF(U107&lt;&gt;"",10,0)</f>
        <v>0</v>
      </c>
      <c r="AM107" s="142"/>
      <c r="AN107" s="140"/>
      <c r="AO107" s="126">
        <f>U107</f>
        <v>0</v>
      </c>
      <c r="AP107" s="140"/>
    </row>
    <row r="108" spans="1:44" ht="6.9" customHeight="1" x14ac:dyDescent="0.25">
      <c r="A108" s="188"/>
      <c r="B108" s="405"/>
      <c r="C108" s="381" t="s">
        <v>2899</v>
      </c>
      <c r="D108" s="382"/>
      <c r="E108" s="382"/>
      <c r="F108" s="382"/>
      <c r="G108" s="382"/>
      <c r="H108" s="383"/>
      <c r="I108" s="377" t="s">
        <v>174</v>
      </c>
      <c r="J108" s="379"/>
      <c r="K108" s="372" t="s">
        <v>2588</v>
      </c>
      <c r="L108" s="373"/>
      <c r="M108" s="372" t="s">
        <v>423</v>
      </c>
      <c r="N108" s="380"/>
      <c r="O108" s="380"/>
      <c r="P108" s="380"/>
      <c r="Q108" s="373"/>
      <c r="R108" s="377" t="s">
        <v>195</v>
      </c>
      <c r="S108" s="378"/>
      <c r="T108" s="379"/>
      <c r="U108" s="372" t="s">
        <v>1291</v>
      </c>
      <c r="V108" s="373"/>
      <c r="W108" s="372" t="s">
        <v>123</v>
      </c>
      <c r="X108" s="380"/>
      <c r="Y108" s="380"/>
      <c r="Z108" s="380"/>
      <c r="AA108" s="380"/>
      <c r="AB108" s="373"/>
      <c r="AC108" s="92"/>
      <c r="AD108" s="141"/>
      <c r="AE108" s="124"/>
      <c r="AF108" s="102"/>
      <c r="AG108" s="90"/>
      <c r="AI108" s="90"/>
      <c r="AJ108" s="90"/>
      <c r="AK108" s="90"/>
      <c r="AL108" s="90"/>
      <c r="AM108" s="125"/>
      <c r="AN108" s="140"/>
      <c r="AO108" s="140"/>
      <c r="AP108" s="140"/>
    </row>
    <row r="109" spans="1:44" ht="12" customHeight="1" thickBot="1" x14ac:dyDescent="0.3">
      <c r="A109" s="188"/>
      <c r="B109" s="406"/>
      <c r="C109" s="420" t="str">
        <f>IF(B105&lt;&gt;"",(VLOOKUP(B105,Waypoints!A2:AZ4996,5,FALSE)),"")</f>
        <v/>
      </c>
      <c r="D109" s="421"/>
      <c r="E109" s="421"/>
      <c r="F109" s="421"/>
      <c r="G109" s="421"/>
      <c r="H109" s="422"/>
      <c r="I109" s="423" t="str">
        <f>IF(B105&lt;&gt;"",(VLOOKUP(B105,Waypoints!A2:AZ4996,4,FALSE)),"")</f>
        <v/>
      </c>
      <c r="J109" s="424"/>
      <c r="K109" s="423" t="str">
        <f>IF(B105&lt;&gt;"",(VLOOKUP(B105,Waypoints!A2:AZ4996,16,FALSE)),"")</f>
        <v/>
      </c>
      <c r="L109" s="424"/>
      <c r="M109" s="425" t="str">
        <f>IF(B105&lt;&gt;"",(VLOOKUP(B105,Waypoints!A2:AZ4996,17,FALSE)),"")</f>
        <v/>
      </c>
      <c r="N109" s="426"/>
      <c r="O109" s="426"/>
      <c r="P109" s="426"/>
      <c r="Q109" s="427"/>
      <c r="R109" s="358" t="str">
        <f>IF(B105&lt;&gt;"",(VLOOKUP(B105,Waypoints!A2:AZ4996,18,FALSE)),"")</f>
        <v/>
      </c>
      <c r="S109" s="359"/>
      <c r="T109" s="360"/>
      <c r="U109" s="361" t="str">
        <f>IF(B105&lt;&gt;"",(VLOOKUP(B105,Waypoints!A2:AZ4996,19,FALSE)),"")</f>
        <v/>
      </c>
      <c r="V109" s="362"/>
      <c r="W109" s="358" t="str">
        <f>IF(B105&lt;&gt;"",(VLOOKUP(B105,Waypoints!A2:AZ4996,20,FALSE)),"")</f>
        <v/>
      </c>
      <c r="X109" s="359"/>
      <c r="Y109" s="359"/>
      <c r="Z109" s="359"/>
      <c r="AA109" s="359"/>
      <c r="AB109" s="360"/>
      <c r="AC109" s="92"/>
      <c r="AD109" s="127"/>
      <c r="AE109" s="118"/>
      <c r="AF109" s="90"/>
      <c r="AG109" s="90"/>
      <c r="AH109" s="90" t="str">
        <f>IF(M109&lt;&gt;"",AJ109,"")</f>
        <v/>
      </c>
      <c r="AI109" s="90">
        <f>LEN(M109)</f>
        <v>0</v>
      </c>
      <c r="AJ109" s="90" t="e">
        <f>VALUE(MID(M109,1,AI109-3))</f>
        <v>#VALUE!</v>
      </c>
      <c r="AK109" s="90"/>
      <c r="AL109" s="90"/>
      <c r="AM109" s="142"/>
      <c r="AN109" s="140"/>
      <c r="AO109" s="140"/>
      <c r="AP109" s="140"/>
      <c r="AR109" s="92"/>
    </row>
    <row r="110" spans="1:44" ht="3" customHeight="1" thickBot="1" x14ac:dyDescent="0.3">
      <c r="A110" s="188"/>
      <c r="B110" s="190"/>
      <c r="C110" s="191"/>
      <c r="D110" s="191"/>
      <c r="E110" s="191"/>
      <c r="F110" s="191"/>
      <c r="G110" s="191"/>
      <c r="H110" s="191"/>
      <c r="I110" s="191"/>
      <c r="J110" s="191"/>
      <c r="K110" s="192"/>
      <c r="L110" s="193"/>
      <c r="M110" s="194"/>
      <c r="N110" s="194"/>
      <c r="O110" s="194"/>
      <c r="P110" s="195"/>
      <c r="Q110" s="195"/>
      <c r="R110" s="195"/>
      <c r="S110" s="196"/>
      <c r="T110" s="196"/>
      <c r="U110" s="194"/>
      <c r="V110" s="194"/>
      <c r="W110" s="194"/>
      <c r="X110" s="194"/>
      <c r="Y110" s="194"/>
      <c r="Z110" s="197"/>
      <c r="AA110" s="197"/>
      <c r="AB110" s="197"/>
      <c r="AC110" s="92"/>
      <c r="AD110" s="141"/>
      <c r="AE110" s="118"/>
      <c r="AF110" s="90"/>
      <c r="AG110" s="90"/>
      <c r="AI110" s="90"/>
      <c r="AJ110" s="90"/>
      <c r="AK110" s="90"/>
      <c r="AL110" s="90"/>
      <c r="AM110" s="128"/>
      <c r="AN110" s="140"/>
      <c r="AO110" s="140"/>
      <c r="AP110" s="140"/>
    </row>
    <row r="111" spans="1:44" ht="6.9" customHeight="1" thickBot="1" x14ac:dyDescent="0.3">
      <c r="A111" s="188"/>
      <c r="B111" s="213" t="s">
        <v>1939</v>
      </c>
      <c r="C111" s="209" t="s">
        <v>419</v>
      </c>
      <c r="D111" s="433" t="s">
        <v>2900</v>
      </c>
      <c r="E111" s="434"/>
      <c r="F111" s="434"/>
      <c r="G111" s="434"/>
      <c r="H111" s="434"/>
      <c r="I111" s="434"/>
      <c r="J111" s="435"/>
      <c r="K111" s="363" t="s">
        <v>420</v>
      </c>
      <c r="L111" s="365"/>
      <c r="M111" s="363" t="s">
        <v>2331</v>
      </c>
      <c r="N111" s="364"/>
      <c r="O111" s="222" t="str">
        <f>G5</f>
        <v>Km</v>
      </c>
      <c r="P111" s="363" t="s">
        <v>1306</v>
      </c>
      <c r="Q111" s="364"/>
      <c r="R111" s="365"/>
      <c r="S111" s="366" t="s">
        <v>421</v>
      </c>
      <c r="T111" s="367"/>
      <c r="U111" s="211" t="s">
        <v>2333</v>
      </c>
      <c r="V111" s="210" t="str">
        <f>Z5</f>
        <v>Km/h</v>
      </c>
      <c r="W111" s="366" t="s">
        <v>2330</v>
      </c>
      <c r="X111" s="428"/>
      <c r="Y111" s="367"/>
      <c r="Z111" s="429" t="s">
        <v>196</v>
      </c>
      <c r="AA111" s="430"/>
      <c r="AB111" s="222" t="str">
        <f>N5</f>
        <v>Ft</v>
      </c>
      <c r="AC111" s="92"/>
      <c r="AD111" s="141"/>
      <c r="AE111" s="90"/>
      <c r="AF111" s="90"/>
      <c r="AG111" s="90"/>
      <c r="AI111" s="90"/>
      <c r="AJ111" s="90"/>
      <c r="AK111" s="90"/>
      <c r="AL111" s="90"/>
      <c r="AM111" s="128"/>
      <c r="AN111" s="140"/>
      <c r="AO111" s="140"/>
      <c r="AP111" s="140"/>
    </row>
    <row r="112" spans="1:44" ht="12" customHeight="1" thickBot="1" x14ac:dyDescent="0.3">
      <c r="A112" s="188"/>
      <c r="B112" s="404"/>
      <c r="C112" s="189" t="str">
        <f>IF(B112&lt;&gt;"",(VLOOKUP(B112,Waypoints!A2:AZ4996,2,FALSE)),"")</f>
        <v/>
      </c>
      <c r="D112" s="407" t="str">
        <f>IF(AND(B112&lt;&gt;"",N(AH116&gt;=Z11)),(VLOOKUP(B112,Waypoints!A2:AZ4996,6,FALSE)),AJ112)</f>
        <v/>
      </c>
      <c r="E112" s="408"/>
      <c r="F112" s="408"/>
      <c r="G112" s="408"/>
      <c r="H112" s="408"/>
      <c r="I112" s="408"/>
      <c r="J112" s="409"/>
      <c r="K112" s="410" t="str">
        <f>IF(B112&lt;&gt;"",Calcoli!J17,"")</f>
        <v/>
      </c>
      <c r="L112" s="411"/>
      <c r="M112" s="416" t="str">
        <f>IF(B112&lt;&gt;"",Calcoli!K17/AE5,"")</f>
        <v/>
      </c>
      <c r="N112" s="417"/>
      <c r="O112" s="418"/>
      <c r="P112" s="311" t="str">
        <f>IF(M112&lt;&gt;"",TRUNC((AD112+AL114)/60),"")</f>
        <v/>
      </c>
      <c r="Q112" s="220" t="s">
        <v>199</v>
      </c>
      <c r="R112" s="312" t="str">
        <f>IF(M112&lt;&gt;"",AD112-TRUNC(P112)*60,"")</f>
        <v/>
      </c>
      <c r="S112" s="431" t="str">
        <f>IF(M112&lt;&gt;"",CEILING(P112*L11+R112*L11/60,0.1),"")</f>
        <v/>
      </c>
      <c r="T112" s="432"/>
      <c r="U112" s="396"/>
      <c r="V112" s="397"/>
      <c r="W112" s="398"/>
      <c r="X112" s="399"/>
      <c r="Y112" s="400"/>
      <c r="Z112" s="401" t="str">
        <f>IF(B112&lt;&gt;"",(VLOOKUP(B112,Waypoints!A2:AZ4996,AF5,FALSE)),"")</f>
        <v/>
      </c>
      <c r="AA112" s="402"/>
      <c r="AB112" s="403"/>
      <c r="AC112" s="127"/>
      <c r="AD112" s="104">
        <f>IF(B112&lt;&gt;"",ROUNDUP(M112/U112*60,0),0)</f>
        <v>0</v>
      </c>
      <c r="AE112" s="118">
        <f>IF(B112&lt;&gt;"",M112*U112,0)</f>
        <v>0</v>
      </c>
      <c r="AF112" s="102">
        <f>AF105+AD112+AL114</f>
        <v>0</v>
      </c>
      <c r="AG112" s="90">
        <f>IF(B112&lt;&gt;"",1,0)</f>
        <v>0</v>
      </c>
      <c r="AI112" s="90"/>
      <c r="AJ112" s="384" t="str">
        <f>IF(N(AH116)=0,"",IF(N(AH116)&gt;=Z11,"","PISTA TROPPO CORTA"))</f>
        <v/>
      </c>
      <c r="AK112" s="384"/>
      <c r="AL112" s="90"/>
      <c r="AM112" s="120">
        <f>W112</f>
        <v>0</v>
      </c>
      <c r="AN112" s="118" t="str">
        <f>M112</f>
        <v/>
      </c>
      <c r="AO112" s="140"/>
      <c r="AP112" s="122" t="str">
        <f>S112</f>
        <v/>
      </c>
      <c r="AQ112" s="122">
        <f>W112</f>
        <v>0</v>
      </c>
    </row>
    <row r="113" spans="1:44" ht="6.9" customHeight="1" x14ac:dyDescent="0.25">
      <c r="A113" s="188"/>
      <c r="B113" s="405"/>
      <c r="C113" s="381" t="s">
        <v>173</v>
      </c>
      <c r="D113" s="382"/>
      <c r="E113" s="382"/>
      <c r="F113" s="382"/>
      <c r="G113" s="382"/>
      <c r="H113" s="382"/>
      <c r="I113" s="382"/>
      <c r="J113" s="383"/>
      <c r="K113" s="412"/>
      <c r="L113" s="413"/>
      <c r="M113" s="385" t="s">
        <v>2332</v>
      </c>
      <c r="N113" s="386"/>
      <c r="O113" s="212" t="str">
        <f>G5</f>
        <v>Km</v>
      </c>
      <c r="P113" s="387" t="s">
        <v>422</v>
      </c>
      <c r="Q113" s="388"/>
      <c r="R113" s="389"/>
      <c r="S113" s="390" t="s">
        <v>422</v>
      </c>
      <c r="T113" s="391"/>
      <c r="U113" s="392" t="s">
        <v>2200</v>
      </c>
      <c r="V113" s="393"/>
      <c r="W113" s="372" t="s">
        <v>197</v>
      </c>
      <c r="X113" s="380"/>
      <c r="Y113" s="380"/>
      <c r="Z113" s="380"/>
      <c r="AA113" s="380"/>
      <c r="AB113" s="373"/>
      <c r="AC113" s="92"/>
      <c r="AD113" s="141"/>
      <c r="AE113" s="118"/>
      <c r="AF113" s="90"/>
      <c r="AG113" s="90"/>
      <c r="AI113" s="90"/>
      <c r="AJ113" s="119"/>
      <c r="AK113" s="119"/>
      <c r="AL113" s="119"/>
      <c r="AM113" s="123"/>
      <c r="AN113" s="121"/>
      <c r="AO113" s="121"/>
      <c r="AP113" s="140"/>
    </row>
    <row r="114" spans="1:44" ht="12" customHeight="1" thickBot="1" x14ac:dyDescent="0.3">
      <c r="A114" s="188"/>
      <c r="B114" s="405"/>
      <c r="C114" s="179" t="str">
        <f>IF(B112&lt;&gt;"",(VLOOKUP(B112,Waypoints!A2:AZ4996,7,FALSE)),"")</f>
        <v/>
      </c>
      <c r="D114" s="180" t="str">
        <f>IF(B112&lt;&gt;"",(VLOOKUP(B112,Waypoints!A2:AZ4996,8,FALSE)),"")</f>
        <v/>
      </c>
      <c r="E114" s="180" t="str">
        <f>IF(B112&lt;&gt;"",(VLOOKUP(B112,Waypoints!A2:AZ4996,9,FALSE)),"")</f>
        <v/>
      </c>
      <c r="F114" s="180" t="str">
        <f>IF(B112&lt;&gt;"",(VLOOKUP(B112,Waypoints!A2:AZ4996,10,FALSE)),"")</f>
        <v/>
      </c>
      <c r="G114" s="180" t="str">
        <f>IF(B112&lt;&gt;"",(VLOOKUP(B112,Waypoints!A2:AZ4996,11,FALSE)),"")</f>
        <v/>
      </c>
      <c r="H114" s="180" t="str">
        <f>IF(B112&lt;&gt;"",(VLOOKUP(B112,Waypoints!A2:AZ4996,12,FALSE)),"")</f>
        <v/>
      </c>
      <c r="I114" s="180" t="str">
        <f>IF(B112&lt;&gt;"",(VLOOKUP(B112,Waypoints!A2:AZ4996,13,FALSE)),"")</f>
        <v/>
      </c>
      <c r="J114" s="181" t="str">
        <f>IF(B112&lt;&gt;"",(VLOOKUP(B112,Waypoints!A2:AZ4996,14,FALSE)),"")</f>
        <v/>
      </c>
      <c r="K114" s="414"/>
      <c r="L114" s="415"/>
      <c r="M114" s="361" t="str">
        <f>IF(M112&lt;&gt;"",M112+M107,"")</f>
        <v/>
      </c>
      <c r="N114" s="419"/>
      <c r="O114" s="362"/>
      <c r="P114" s="183" t="str">
        <f>IF(P112&lt;&gt;"",TRUNC(AF112/60),"")</f>
        <v/>
      </c>
      <c r="Q114" s="182" t="s">
        <v>199</v>
      </c>
      <c r="R114" s="184" t="str">
        <f>IF(R112&lt;&gt;"",AF112-TRUNC(P114)*60,"")</f>
        <v/>
      </c>
      <c r="S114" s="368" t="str">
        <f>IF(S112&lt;&gt;"",S107+S112,"")</f>
        <v/>
      </c>
      <c r="T114" s="369"/>
      <c r="U114" s="370"/>
      <c r="V114" s="371"/>
      <c r="W114" s="374"/>
      <c r="X114" s="375"/>
      <c r="Y114" s="375"/>
      <c r="Z114" s="375"/>
      <c r="AA114" s="375"/>
      <c r="AB114" s="376"/>
      <c r="AC114" s="92"/>
      <c r="AD114" s="141"/>
      <c r="AE114" s="124"/>
      <c r="AF114" s="102"/>
      <c r="AG114" s="90"/>
      <c r="AI114" s="90"/>
      <c r="AJ114" s="90"/>
      <c r="AK114" s="90"/>
      <c r="AL114" s="90">
        <f>IF(U114&lt;&gt;"",10,0)</f>
        <v>0</v>
      </c>
      <c r="AM114" s="142"/>
      <c r="AN114" s="140"/>
      <c r="AO114" s="126">
        <f>U114</f>
        <v>0</v>
      </c>
      <c r="AP114" s="140"/>
    </row>
    <row r="115" spans="1:44" ht="6.9" customHeight="1" x14ac:dyDescent="0.25">
      <c r="A115" s="188"/>
      <c r="B115" s="405"/>
      <c r="C115" s="381" t="s">
        <v>2899</v>
      </c>
      <c r="D115" s="382"/>
      <c r="E115" s="382"/>
      <c r="F115" s="382"/>
      <c r="G115" s="382"/>
      <c r="H115" s="383"/>
      <c r="I115" s="377" t="s">
        <v>174</v>
      </c>
      <c r="J115" s="379"/>
      <c r="K115" s="372" t="s">
        <v>2588</v>
      </c>
      <c r="L115" s="373"/>
      <c r="M115" s="372" t="s">
        <v>423</v>
      </c>
      <c r="N115" s="380"/>
      <c r="O115" s="380"/>
      <c r="P115" s="380"/>
      <c r="Q115" s="373"/>
      <c r="R115" s="377" t="s">
        <v>195</v>
      </c>
      <c r="S115" s="378"/>
      <c r="T115" s="379"/>
      <c r="U115" s="372" t="s">
        <v>1291</v>
      </c>
      <c r="V115" s="373"/>
      <c r="W115" s="372" t="s">
        <v>123</v>
      </c>
      <c r="X115" s="380"/>
      <c r="Y115" s="380"/>
      <c r="Z115" s="380"/>
      <c r="AA115" s="380"/>
      <c r="AB115" s="373"/>
      <c r="AC115" s="92"/>
      <c r="AD115" s="141"/>
      <c r="AE115" s="124"/>
      <c r="AF115" s="102"/>
      <c r="AG115" s="90"/>
      <c r="AI115" s="90"/>
      <c r="AJ115" s="90"/>
      <c r="AK115" s="90"/>
      <c r="AL115" s="90"/>
      <c r="AM115" s="125"/>
      <c r="AN115" s="140"/>
      <c r="AO115" s="140"/>
      <c r="AP115" s="140"/>
    </row>
    <row r="116" spans="1:44" ht="12" customHeight="1" thickBot="1" x14ac:dyDescent="0.3">
      <c r="A116" s="188"/>
      <c r="B116" s="406"/>
      <c r="C116" s="420" t="str">
        <f>IF(B112&lt;&gt;"",(VLOOKUP(B112,Waypoints!A2:AZ4996,5,FALSE)),"")</f>
        <v/>
      </c>
      <c r="D116" s="421"/>
      <c r="E116" s="421"/>
      <c r="F116" s="421"/>
      <c r="G116" s="421"/>
      <c r="H116" s="422"/>
      <c r="I116" s="423" t="str">
        <f>IF(B112&lt;&gt;"",(VLOOKUP(B112,Waypoints!A2:AZ4996,4,FALSE)),"")</f>
        <v/>
      </c>
      <c r="J116" s="424"/>
      <c r="K116" s="423" t="str">
        <f>IF(B112&lt;&gt;"",(VLOOKUP(B112,Waypoints!A2:AZ4996,16,FALSE)),"")</f>
        <v/>
      </c>
      <c r="L116" s="424"/>
      <c r="M116" s="425" t="str">
        <f>IF(B112&lt;&gt;"",(VLOOKUP(B112,Waypoints!A2:AZ4996,17,FALSE)),"")</f>
        <v/>
      </c>
      <c r="N116" s="426"/>
      <c r="O116" s="426"/>
      <c r="P116" s="426"/>
      <c r="Q116" s="427"/>
      <c r="R116" s="358" t="str">
        <f>IF(B112&lt;&gt;"",(VLOOKUP(B112,Waypoints!A2:AZ4996,18,FALSE)),"")</f>
        <v/>
      </c>
      <c r="S116" s="359"/>
      <c r="T116" s="360"/>
      <c r="U116" s="361" t="str">
        <f>IF(B112&lt;&gt;"",(VLOOKUP(B112,Waypoints!A2:AZ1230,19,FALSE)),"")</f>
        <v/>
      </c>
      <c r="V116" s="362"/>
      <c r="W116" s="358" t="str">
        <f>IF(B112&lt;&gt;"",(VLOOKUP(B112,Waypoints!A2:AZ4996,20,FALSE)),"")</f>
        <v/>
      </c>
      <c r="X116" s="359"/>
      <c r="Y116" s="359"/>
      <c r="Z116" s="359"/>
      <c r="AA116" s="359"/>
      <c r="AB116" s="360"/>
      <c r="AC116" s="92"/>
      <c r="AD116" s="127"/>
      <c r="AE116" s="94"/>
      <c r="AF116" s="130"/>
      <c r="AG116" s="90"/>
      <c r="AH116" s="90" t="str">
        <f>IF(M116&lt;&gt;"",AJ116,"")</f>
        <v/>
      </c>
      <c r="AI116" s="90">
        <f>LEN(M116)</f>
        <v>0</v>
      </c>
      <c r="AJ116" s="90" t="e">
        <f>VALUE(MID(M116,1,AI116-3))</f>
        <v>#VALUE!</v>
      </c>
      <c r="AK116" s="130"/>
      <c r="AL116" s="90"/>
      <c r="AM116" s="140"/>
      <c r="AN116" s="140"/>
      <c r="AO116" s="140"/>
      <c r="AP116" s="140"/>
      <c r="AR116" s="92"/>
    </row>
    <row r="117" spans="1:44" ht="3" customHeight="1" thickBot="1" x14ac:dyDescent="0.3">
      <c r="A117" s="188"/>
      <c r="B117" s="190"/>
      <c r="C117" s="191"/>
      <c r="D117" s="191"/>
      <c r="E117" s="191"/>
      <c r="F117" s="191"/>
      <c r="G117" s="191"/>
      <c r="H117" s="191"/>
      <c r="I117" s="191"/>
      <c r="J117" s="191"/>
      <c r="K117" s="192"/>
      <c r="L117" s="193"/>
      <c r="M117" s="194"/>
      <c r="N117" s="194"/>
      <c r="O117" s="194"/>
      <c r="P117" s="195"/>
      <c r="Q117" s="195"/>
      <c r="R117" s="195"/>
      <c r="S117" s="196"/>
      <c r="T117" s="196"/>
      <c r="U117" s="194"/>
      <c r="V117" s="194"/>
      <c r="W117" s="194"/>
      <c r="X117" s="194"/>
      <c r="Y117" s="194"/>
      <c r="Z117" s="197"/>
      <c r="AA117" s="197"/>
      <c r="AB117" s="197"/>
      <c r="AC117" s="92"/>
      <c r="AD117" s="141"/>
      <c r="AE117" s="118"/>
      <c r="AF117" s="90"/>
      <c r="AG117" s="90"/>
      <c r="AI117" s="90"/>
      <c r="AJ117" s="90"/>
      <c r="AK117" s="90"/>
      <c r="AL117" s="90"/>
      <c r="AM117" s="128"/>
      <c r="AN117" s="140"/>
      <c r="AO117" s="140"/>
      <c r="AP117" s="140"/>
    </row>
    <row r="118" spans="1:44" ht="6.9" customHeight="1" thickBot="1" x14ac:dyDescent="0.3">
      <c r="A118" s="188"/>
      <c r="B118" s="213" t="s">
        <v>1940</v>
      </c>
      <c r="C118" s="209" t="s">
        <v>419</v>
      </c>
      <c r="D118" s="433" t="s">
        <v>2900</v>
      </c>
      <c r="E118" s="434"/>
      <c r="F118" s="434"/>
      <c r="G118" s="434"/>
      <c r="H118" s="434"/>
      <c r="I118" s="434"/>
      <c r="J118" s="435"/>
      <c r="K118" s="363" t="s">
        <v>420</v>
      </c>
      <c r="L118" s="365"/>
      <c r="M118" s="363" t="s">
        <v>2331</v>
      </c>
      <c r="N118" s="364"/>
      <c r="O118" s="222" t="str">
        <f>G5</f>
        <v>Km</v>
      </c>
      <c r="P118" s="363" t="s">
        <v>1306</v>
      </c>
      <c r="Q118" s="364"/>
      <c r="R118" s="365"/>
      <c r="S118" s="366" t="s">
        <v>421</v>
      </c>
      <c r="T118" s="367"/>
      <c r="U118" s="211" t="s">
        <v>2333</v>
      </c>
      <c r="V118" s="210" t="str">
        <f>Z5</f>
        <v>Km/h</v>
      </c>
      <c r="W118" s="366" t="s">
        <v>2330</v>
      </c>
      <c r="X118" s="428"/>
      <c r="Y118" s="367"/>
      <c r="Z118" s="429" t="s">
        <v>196</v>
      </c>
      <c r="AA118" s="430"/>
      <c r="AB118" s="222" t="str">
        <f>N5</f>
        <v>Ft</v>
      </c>
      <c r="AC118" s="92"/>
      <c r="AD118" s="141"/>
      <c r="AE118" s="90"/>
      <c r="AF118" s="90"/>
      <c r="AG118" s="90"/>
      <c r="AI118" s="90"/>
      <c r="AJ118" s="90"/>
      <c r="AK118" s="90"/>
      <c r="AL118" s="90"/>
      <c r="AM118" s="128"/>
      <c r="AN118" s="140"/>
      <c r="AO118" s="140"/>
      <c r="AP118" s="140"/>
    </row>
    <row r="119" spans="1:44" ht="12" customHeight="1" thickBot="1" x14ac:dyDescent="0.3">
      <c r="A119" s="188"/>
      <c r="B119" s="404"/>
      <c r="C119" s="189" t="str">
        <f>IF(B119&lt;&gt;"",(VLOOKUP(B119,Waypoints!A2:AZ4996,2,FALSE)),"")</f>
        <v/>
      </c>
      <c r="D119" s="407" t="str">
        <f>IF(AND(B119&lt;&gt;"",N(AH123&gt;=Z11)),(VLOOKUP(B119,Waypoints!A5:AZ4996,6,FALSE)),AJ119)</f>
        <v/>
      </c>
      <c r="E119" s="408"/>
      <c r="F119" s="408"/>
      <c r="G119" s="408"/>
      <c r="H119" s="408"/>
      <c r="I119" s="408"/>
      <c r="J119" s="409"/>
      <c r="K119" s="410" t="str">
        <f>IF(B119&lt;&gt;"",Calcoli!J18,"")</f>
        <v/>
      </c>
      <c r="L119" s="411"/>
      <c r="M119" s="416" t="str">
        <f>IF(B119&lt;&gt;"",Calcoli!K17/AE5,"")</f>
        <v/>
      </c>
      <c r="N119" s="417"/>
      <c r="O119" s="418"/>
      <c r="P119" s="311" t="str">
        <f>IF(M119&lt;&gt;"",TRUNC((AD119+AL121)/60),"")</f>
        <v/>
      </c>
      <c r="Q119" s="220" t="s">
        <v>199</v>
      </c>
      <c r="R119" s="312" t="str">
        <f>IF(M119&lt;&gt;"",AD119-TRUNC(P119)*60,"")</f>
        <v/>
      </c>
      <c r="S119" s="394" t="str">
        <f>IF(M119&lt;&gt;"",CEILING(P119*L11+R119*L11/60,0.1),"")</f>
        <v/>
      </c>
      <c r="T119" s="395"/>
      <c r="U119" s="396"/>
      <c r="V119" s="397"/>
      <c r="W119" s="398"/>
      <c r="X119" s="399"/>
      <c r="Y119" s="400"/>
      <c r="Z119" s="401" t="str">
        <f>IF(B119&lt;&gt;"",(VLOOKUP(B119,Waypoints!A2:AZ4996,AF5,FALSE)),"")</f>
        <v/>
      </c>
      <c r="AA119" s="402"/>
      <c r="AB119" s="403"/>
      <c r="AC119" s="127"/>
      <c r="AD119" s="104">
        <f>IF(B119&lt;&gt;"",ROUNDUP(M119/U119*60,0),0)</f>
        <v>0</v>
      </c>
      <c r="AE119" s="118">
        <f>IF(B119&lt;&gt;"",M119*U119,0)</f>
        <v>0</v>
      </c>
      <c r="AF119" s="102">
        <f>AF112+AD119+AL121</f>
        <v>0</v>
      </c>
      <c r="AG119" s="90">
        <f>IF(B119&lt;&gt;"",1,0)</f>
        <v>0</v>
      </c>
      <c r="AI119" s="90"/>
      <c r="AJ119" s="384" t="str">
        <f>IF(N(AH123)=0,"",IF(N(AH123)&gt;=Z11,"","PISTA TROPPO CORTA"))</f>
        <v/>
      </c>
      <c r="AK119" s="384"/>
      <c r="AL119" s="90"/>
      <c r="AM119" s="120">
        <f>W119</f>
        <v>0</v>
      </c>
      <c r="AN119" s="118" t="str">
        <f>M119</f>
        <v/>
      </c>
      <c r="AO119" s="140"/>
      <c r="AP119" s="122" t="str">
        <f>S119</f>
        <v/>
      </c>
      <c r="AQ119" s="122">
        <f>W119</f>
        <v>0</v>
      </c>
    </row>
    <row r="120" spans="1:44" ht="6.9" customHeight="1" x14ac:dyDescent="0.25">
      <c r="A120" s="188"/>
      <c r="B120" s="405"/>
      <c r="C120" s="381" t="s">
        <v>173</v>
      </c>
      <c r="D120" s="382"/>
      <c r="E120" s="382"/>
      <c r="F120" s="382"/>
      <c r="G120" s="382"/>
      <c r="H120" s="382"/>
      <c r="I120" s="382"/>
      <c r="J120" s="383"/>
      <c r="K120" s="412"/>
      <c r="L120" s="413"/>
      <c r="M120" s="385" t="s">
        <v>2332</v>
      </c>
      <c r="N120" s="386"/>
      <c r="O120" s="212" t="str">
        <f>G5</f>
        <v>Km</v>
      </c>
      <c r="P120" s="387" t="s">
        <v>422</v>
      </c>
      <c r="Q120" s="388"/>
      <c r="R120" s="389"/>
      <c r="S120" s="390" t="s">
        <v>422</v>
      </c>
      <c r="T120" s="391"/>
      <c r="U120" s="392" t="s">
        <v>2200</v>
      </c>
      <c r="V120" s="393"/>
      <c r="W120" s="372" t="s">
        <v>197</v>
      </c>
      <c r="X120" s="380"/>
      <c r="Y120" s="380"/>
      <c r="Z120" s="380"/>
      <c r="AA120" s="380"/>
      <c r="AB120" s="373"/>
      <c r="AC120" s="92"/>
      <c r="AD120" s="141"/>
      <c r="AE120" s="118"/>
      <c r="AF120" s="90"/>
      <c r="AG120" s="90"/>
      <c r="AI120" s="90"/>
      <c r="AJ120" s="119"/>
      <c r="AK120" s="119"/>
      <c r="AL120" s="119"/>
      <c r="AM120" s="123"/>
      <c r="AN120" s="121"/>
      <c r="AO120" s="121"/>
      <c r="AP120" s="140"/>
    </row>
    <row r="121" spans="1:44" ht="12" customHeight="1" thickBot="1" x14ac:dyDescent="0.3">
      <c r="A121" s="188"/>
      <c r="B121" s="405"/>
      <c r="C121" s="179" t="str">
        <f>IF(B119&lt;&gt;"",(VLOOKUP(B119,Waypoints!A2:AZ4996,7,FALSE)),"")</f>
        <v/>
      </c>
      <c r="D121" s="180" t="str">
        <f>IF(B119&lt;&gt;"",(VLOOKUP(B119,Waypoints!A2:AZ4996,8,FALSE)),"")</f>
        <v/>
      </c>
      <c r="E121" s="180" t="str">
        <f>IF(B119&lt;&gt;"",(VLOOKUP(B119,Waypoints!A2:AZ4996,9,FALSE)),"")</f>
        <v/>
      </c>
      <c r="F121" s="180" t="str">
        <f>IF(B119&lt;&gt;"",(VLOOKUP(B119,Waypoints!A2:AZ4996,10,FALSE)),"")</f>
        <v/>
      </c>
      <c r="G121" s="180" t="str">
        <f>IF(B119&lt;&gt;"",(VLOOKUP(B119,Waypoints!A2:AZ4996,11,FALSE)),"")</f>
        <v/>
      </c>
      <c r="H121" s="180" t="str">
        <f>IF(B119&lt;&gt;"",(VLOOKUP(B119,Waypoints!A2:AZ4996,12,FALSE)),"")</f>
        <v/>
      </c>
      <c r="I121" s="180" t="str">
        <f>IF(B119&lt;&gt;"",(VLOOKUP(B119,Waypoints!A2:AZ4996,13,FALSE)),"")</f>
        <v/>
      </c>
      <c r="J121" s="181" t="str">
        <f>IF(B119&lt;&gt;"",(VLOOKUP(B119,Waypoints!A2:AZ4996,14,FALSE)),"")</f>
        <v/>
      </c>
      <c r="K121" s="414"/>
      <c r="L121" s="415"/>
      <c r="M121" s="361" t="str">
        <f>IF(M119&lt;&gt;"",M119+M114,"")</f>
        <v/>
      </c>
      <c r="N121" s="419"/>
      <c r="O121" s="362"/>
      <c r="P121" s="183" t="str">
        <f>IF(P119&lt;&gt;"",TRUNC(AF119/60),"")</f>
        <v/>
      </c>
      <c r="Q121" s="182" t="s">
        <v>199</v>
      </c>
      <c r="R121" s="184" t="str">
        <f>IF(R119&lt;&gt;"",AF119-TRUNC(P121)*60,"")</f>
        <v/>
      </c>
      <c r="S121" s="368" t="str">
        <f>IF(S119&lt;&gt;"",S114+S119,"")</f>
        <v/>
      </c>
      <c r="T121" s="369"/>
      <c r="U121" s="370"/>
      <c r="V121" s="371"/>
      <c r="W121" s="374"/>
      <c r="X121" s="375"/>
      <c r="Y121" s="375"/>
      <c r="Z121" s="375"/>
      <c r="AA121" s="375"/>
      <c r="AB121" s="376"/>
      <c r="AC121" s="92"/>
      <c r="AD121" s="141"/>
      <c r="AE121" s="124"/>
      <c r="AF121" s="102"/>
      <c r="AG121" s="90"/>
      <c r="AI121" s="90"/>
      <c r="AJ121" s="90"/>
      <c r="AK121" s="90"/>
      <c r="AL121" s="90">
        <f>IF(U121&lt;&gt;"",10,0)</f>
        <v>0</v>
      </c>
      <c r="AM121" s="142"/>
      <c r="AN121" s="140"/>
      <c r="AO121" s="126">
        <f>U121</f>
        <v>0</v>
      </c>
      <c r="AP121" s="140"/>
    </row>
    <row r="122" spans="1:44" ht="6.9" customHeight="1" x14ac:dyDescent="0.25">
      <c r="A122" s="188"/>
      <c r="B122" s="405"/>
      <c r="C122" s="381" t="s">
        <v>2899</v>
      </c>
      <c r="D122" s="382"/>
      <c r="E122" s="382"/>
      <c r="F122" s="382"/>
      <c r="G122" s="382"/>
      <c r="H122" s="383"/>
      <c r="I122" s="377" t="s">
        <v>174</v>
      </c>
      <c r="J122" s="379"/>
      <c r="K122" s="372" t="s">
        <v>2588</v>
      </c>
      <c r="L122" s="373"/>
      <c r="M122" s="372" t="s">
        <v>423</v>
      </c>
      <c r="N122" s="380"/>
      <c r="O122" s="380"/>
      <c r="P122" s="380"/>
      <c r="Q122" s="373"/>
      <c r="R122" s="377" t="s">
        <v>195</v>
      </c>
      <c r="S122" s="378"/>
      <c r="T122" s="379"/>
      <c r="U122" s="372" t="s">
        <v>1291</v>
      </c>
      <c r="V122" s="373"/>
      <c r="W122" s="372" t="s">
        <v>123</v>
      </c>
      <c r="X122" s="380"/>
      <c r="Y122" s="380"/>
      <c r="Z122" s="380"/>
      <c r="AA122" s="380"/>
      <c r="AB122" s="373"/>
      <c r="AC122" s="92"/>
      <c r="AD122" s="127"/>
      <c r="AE122" s="124"/>
      <c r="AF122" s="102"/>
      <c r="AG122" s="90"/>
      <c r="AI122" s="90"/>
      <c r="AJ122" s="90"/>
      <c r="AK122" s="90"/>
      <c r="AL122" s="90"/>
      <c r="AM122" s="125"/>
      <c r="AN122" s="140"/>
      <c r="AO122" s="140"/>
      <c r="AP122" s="140"/>
    </row>
    <row r="123" spans="1:44" ht="12" customHeight="1" thickBot="1" x14ac:dyDescent="0.3">
      <c r="A123" s="188"/>
      <c r="B123" s="406"/>
      <c r="C123" s="420" t="str">
        <f>IF(B119&lt;&gt;"",(VLOOKUP(B119,Waypoints!A2:AZ4996,5,FALSE)),"")</f>
        <v/>
      </c>
      <c r="D123" s="421"/>
      <c r="E123" s="421"/>
      <c r="F123" s="421"/>
      <c r="G123" s="421"/>
      <c r="H123" s="422"/>
      <c r="I123" s="423" t="str">
        <f>IF(B119&lt;&gt;"",(VLOOKUP(B119,Waypoints!A2:AZ4996,4,FALSE)),"")</f>
        <v/>
      </c>
      <c r="J123" s="424"/>
      <c r="K123" s="423" t="str">
        <f>IF(B119&lt;&gt;"",(VLOOKUP(B119,Waypoints!A2:AZ4996,16,FALSE)),"")</f>
        <v/>
      </c>
      <c r="L123" s="424"/>
      <c r="M123" s="425" t="str">
        <f>IF(B119&lt;&gt;"",(VLOOKUP(B119,Waypoints!A2:AZ4996,17,FALSE)),"")</f>
        <v/>
      </c>
      <c r="N123" s="426"/>
      <c r="O123" s="426"/>
      <c r="P123" s="426"/>
      <c r="Q123" s="427"/>
      <c r="R123" s="358" t="str">
        <f>IF(B119&lt;&gt;"",(VLOOKUP(B119,Waypoints!A2:AZ4996,18,FALSE)),"")</f>
        <v/>
      </c>
      <c r="S123" s="359"/>
      <c r="T123" s="360"/>
      <c r="U123" s="361" t="str">
        <f>IF(B119&lt;&gt;"",(VLOOKUP(B119,Waypoints!A2:AZ4996,19,FALSE)),"")</f>
        <v/>
      </c>
      <c r="V123" s="362"/>
      <c r="W123" s="358" t="str">
        <f>IF(B119&lt;&gt;"",(VLOOKUP(B119,Waypoints!A2:AZ4996,20,FALSE)),"")</f>
        <v/>
      </c>
      <c r="X123" s="359"/>
      <c r="Y123" s="359"/>
      <c r="Z123" s="359"/>
      <c r="AA123" s="359"/>
      <c r="AB123" s="360"/>
      <c r="AC123" s="92"/>
      <c r="AD123" s="127"/>
      <c r="AE123" s="94"/>
      <c r="AF123" s="130"/>
      <c r="AG123" s="90"/>
      <c r="AH123" s="90" t="str">
        <f>IF(M123&lt;&gt;"",AJ123,"")</f>
        <v/>
      </c>
      <c r="AI123" s="90">
        <f>LEN(M123)</f>
        <v>0</v>
      </c>
      <c r="AJ123" s="90" t="e">
        <f>VALUE(MID(M123,1,AI123-3))</f>
        <v>#VALUE!</v>
      </c>
      <c r="AK123" s="130"/>
      <c r="AL123" s="90"/>
      <c r="AM123" s="140"/>
      <c r="AN123" s="140"/>
      <c r="AO123" s="140"/>
      <c r="AP123" s="140"/>
      <c r="AR123" s="92"/>
    </row>
    <row r="124" spans="1:44" ht="3" customHeight="1" x14ac:dyDescent="0.25">
      <c r="A124" s="188"/>
      <c r="AC124" s="92"/>
      <c r="AE124" s="94"/>
      <c r="AF124" s="90"/>
      <c r="AG124" s="90"/>
      <c r="AI124" s="90"/>
      <c r="AJ124" s="90"/>
      <c r="AK124" s="90"/>
      <c r="AL124" s="90"/>
      <c r="AM124" s="140"/>
      <c r="AN124" s="140"/>
      <c r="AO124" s="140"/>
      <c r="AP124" s="140"/>
    </row>
    <row r="125" spans="1:44" ht="12" customHeight="1" x14ac:dyDescent="0.25">
      <c r="A125" s="188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131">
        <f>SUM(AD21:AD122)</f>
        <v>0</v>
      </c>
      <c r="AE125" s="131">
        <f>SUM(AE20:AE123)</f>
        <v>0</v>
      </c>
      <c r="AF125" s="132"/>
      <c r="AG125" s="131">
        <f>SUM(AG20:AG123)</f>
        <v>0</v>
      </c>
      <c r="AH125" s="132"/>
      <c r="AI125" s="132"/>
      <c r="AJ125" s="132"/>
      <c r="AK125" s="132"/>
      <c r="AL125" s="131">
        <f>SUM(AL20:AL123)</f>
        <v>0</v>
      </c>
      <c r="AM125" s="131">
        <f>SUM(AM20:AM123)+L12</f>
        <v>0</v>
      </c>
      <c r="AN125" s="131">
        <f>SUM(AN20:AN123)</f>
        <v>0</v>
      </c>
      <c r="AO125" s="131">
        <f>SUM(AO20:AO123)</f>
        <v>0</v>
      </c>
      <c r="AP125" s="133">
        <f>SUM(AP20:AP123)</f>
        <v>0</v>
      </c>
      <c r="AQ125" s="133">
        <f>SUM(AQ20:AQ123)</f>
        <v>0</v>
      </c>
    </row>
    <row r="126" spans="1:44" ht="3" customHeight="1" x14ac:dyDescent="0.25">
      <c r="A126" s="188"/>
      <c r="B126" s="199"/>
      <c r="C126" s="199"/>
      <c r="D126" s="199"/>
      <c r="E126" s="199"/>
      <c r="F126" s="199"/>
      <c r="G126" s="199"/>
      <c r="H126" s="198"/>
      <c r="I126" s="198"/>
      <c r="J126" s="198"/>
      <c r="K126" s="198"/>
      <c r="L126" s="198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200"/>
      <c r="AA126" s="200"/>
      <c r="AB126" s="200"/>
      <c r="AC126" s="127"/>
      <c r="AD126" s="134"/>
      <c r="AE126" s="131"/>
      <c r="AF126" s="135"/>
      <c r="AG126" s="134"/>
      <c r="AH126" s="130"/>
      <c r="AI126" s="130"/>
      <c r="AJ126" s="130"/>
      <c r="AK126" s="130"/>
      <c r="AL126" s="134"/>
      <c r="AM126" s="133"/>
      <c r="AN126" s="134"/>
      <c r="AO126" s="134"/>
      <c r="AP126" s="140"/>
    </row>
    <row r="127" spans="1:44" ht="12" customHeight="1" x14ac:dyDescent="0.25">
      <c r="A127" s="188"/>
      <c r="AC127" s="92"/>
      <c r="AD127" s="127"/>
      <c r="AE127" s="94"/>
      <c r="AF127" s="90"/>
      <c r="AG127" s="90"/>
      <c r="AI127" s="90"/>
      <c r="AJ127" s="90"/>
      <c r="AK127" s="90"/>
      <c r="AL127" s="90"/>
      <c r="AM127" s="140"/>
      <c r="AN127" s="140"/>
      <c r="AO127" s="140"/>
      <c r="AP127" s="140"/>
    </row>
    <row r="128" spans="1:44" ht="12" customHeight="1" x14ac:dyDescent="0.25">
      <c r="A128" s="188"/>
      <c r="AC128" s="92"/>
      <c r="AD128" s="127"/>
      <c r="AE128" s="94"/>
      <c r="AF128" s="90"/>
      <c r="AG128" s="90"/>
      <c r="AI128" s="90"/>
      <c r="AJ128" s="90"/>
      <c r="AK128" s="90"/>
      <c r="AL128" s="90"/>
      <c r="AM128" s="140"/>
      <c r="AN128" s="140"/>
      <c r="AO128" s="140"/>
      <c r="AP128" s="140"/>
    </row>
    <row r="129" spans="1:29" ht="12" customHeight="1" x14ac:dyDescent="0.25">
      <c r="A129" s="188"/>
      <c r="AC129" s="92"/>
    </row>
    <row r="130" spans="1:29" ht="7.5" customHeight="1" x14ac:dyDescent="0.25">
      <c r="A130" s="188"/>
      <c r="AC130" s="92"/>
    </row>
    <row r="131" spans="1:29" ht="12" customHeight="1" x14ac:dyDescent="0.25">
      <c r="A131" s="188"/>
      <c r="AC131" s="92"/>
    </row>
    <row r="132" spans="1:29" ht="7.5" customHeight="1" x14ac:dyDescent="0.25">
      <c r="A132" s="188"/>
      <c r="AC132" s="92"/>
    </row>
    <row r="133" spans="1:29" ht="12" customHeight="1" x14ac:dyDescent="0.25">
      <c r="A133" s="188"/>
      <c r="AC133" s="127"/>
    </row>
    <row r="134" spans="1:29" ht="3" customHeight="1" x14ac:dyDescent="0.25"/>
    <row r="135" spans="1:29" ht="12" customHeight="1" x14ac:dyDescent="0.25"/>
    <row r="136" spans="1:29" ht="3" customHeight="1" x14ac:dyDescent="0.25"/>
    <row r="137" spans="1:29" ht="12" customHeight="1" x14ac:dyDescent="0.25"/>
  </sheetData>
  <sheetProtection password="CC7A" sheet="1" objects="1" scenarios="1"/>
  <mergeCells count="647">
    <mergeCell ref="M48:N48"/>
    <mergeCell ref="W36:AB36"/>
    <mergeCell ref="U31:V31"/>
    <mergeCell ref="U35:V35"/>
    <mergeCell ref="W34:Y34"/>
    <mergeCell ref="M34:N34"/>
    <mergeCell ref="M29:N29"/>
    <mergeCell ref="M21:O21"/>
    <mergeCell ref="M36:N36"/>
    <mergeCell ref="M43:N43"/>
    <mergeCell ref="M50:N50"/>
    <mergeCell ref="M42:O42"/>
    <mergeCell ref="M44:O44"/>
    <mergeCell ref="M37:O37"/>
    <mergeCell ref="M39:Q39"/>
    <mergeCell ref="N5:O5"/>
    <mergeCell ref="B5:F5"/>
    <mergeCell ref="J5:M5"/>
    <mergeCell ref="B7:H7"/>
    <mergeCell ref="M22:N22"/>
    <mergeCell ref="M27:N27"/>
    <mergeCell ref="T7:AB7"/>
    <mergeCell ref="J7:R7"/>
    <mergeCell ref="R67:T67"/>
    <mergeCell ref="U67:V67"/>
    <mergeCell ref="W67:AB67"/>
    <mergeCell ref="U66:V66"/>
    <mergeCell ref="W66:AB66"/>
    <mergeCell ref="P64:R64"/>
    <mergeCell ref="R66:T66"/>
    <mergeCell ref="M20:N20"/>
    <mergeCell ref="S5:Y5"/>
    <mergeCell ref="Z5:AB5"/>
    <mergeCell ref="S65:T65"/>
    <mergeCell ref="S63:T63"/>
    <mergeCell ref="U63:V63"/>
    <mergeCell ref="W63:Y63"/>
    <mergeCell ref="Z63:AB63"/>
    <mergeCell ref="S64:T64"/>
    <mergeCell ref="W59:AB59"/>
    <mergeCell ref="U57:V57"/>
    <mergeCell ref="AJ63:AK63"/>
    <mergeCell ref="W64:AB64"/>
    <mergeCell ref="U65:V65"/>
    <mergeCell ref="W65:AB65"/>
    <mergeCell ref="U64:V64"/>
    <mergeCell ref="C66:H66"/>
    <mergeCell ref="I66:J66"/>
    <mergeCell ref="K66:L66"/>
    <mergeCell ref="M66:Q66"/>
    <mergeCell ref="B63:B67"/>
    <mergeCell ref="D63:J63"/>
    <mergeCell ref="K63:L65"/>
    <mergeCell ref="M63:O63"/>
    <mergeCell ref="M65:O65"/>
    <mergeCell ref="C67:H67"/>
    <mergeCell ref="I67:J67"/>
    <mergeCell ref="K67:L67"/>
    <mergeCell ref="M67:Q67"/>
    <mergeCell ref="M62:N62"/>
    <mergeCell ref="W62:Y62"/>
    <mergeCell ref="S62:T62"/>
    <mergeCell ref="C64:J64"/>
    <mergeCell ref="K60:L60"/>
    <mergeCell ref="D62:J62"/>
    <mergeCell ref="K62:L62"/>
    <mergeCell ref="M64:N64"/>
    <mergeCell ref="Z62:AA62"/>
    <mergeCell ref="W57:AB57"/>
    <mergeCell ref="U58:V58"/>
    <mergeCell ref="W58:AB58"/>
    <mergeCell ref="U59:V59"/>
    <mergeCell ref="P62:R62"/>
    <mergeCell ref="W37:AB37"/>
    <mergeCell ref="W43:AB43"/>
    <mergeCell ref="M56:O56"/>
    <mergeCell ref="M60:Q60"/>
    <mergeCell ref="M58:O58"/>
    <mergeCell ref="M57:N57"/>
    <mergeCell ref="Z41:AA41"/>
    <mergeCell ref="W39:AB39"/>
    <mergeCell ref="W41:Y41"/>
    <mergeCell ref="U38:V38"/>
    <mergeCell ref="P55:R55"/>
    <mergeCell ref="W60:AB60"/>
    <mergeCell ref="W55:Y55"/>
    <mergeCell ref="K56:L58"/>
    <mergeCell ref="K59:L59"/>
    <mergeCell ref="M59:Q59"/>
    <mergeCell ref="R59:T59"/>
    <mergeCell ref="Z55:AA55"/>
    <mergeCell ref="C50:J50"/>
    <mergeCell ref="K55:L55"/>
    <mergeCell ref="K53:L53"/>
    <mergeCell ref="M53:Q53"/>
    <mergeCell ref="P50:R50"/>
    <mergeCell ref="D55:J55"/>
    <mergeCell ref="M55:N55"/>
    <mergeCell ref="C52:H52"/>
    <mergeCell ref="I52:J52"/>
    <mergeCell ref="K52:L52"/>
    <mergeCell ref="M52:Q52"/>
    <mergeCell ref="K49:L51"/>
    <mergeCell ref="W50:AB50"/>
    <mergeCell ref="M49:O49"/>
    <mergeCell ref="S49:T49"/>
    <mergeCell ref="W51:AB51"/>
    <mergeCell ref="U50:V50"/>
    <mergeCell ref="S51:T51"/>
    <mergeCell ref="S50:T50"/>
    <mergeCell ref="U49:V49"/>
    <mergeCell ref="R39:T39"/>
    <mergeCell ref="S44:T44"/>
    <mergeCell ref="S48:T48"/>
    <mergeCell ref="W48:Y48"/>
    <mergeCell ref="C45:H45"/>
    <mergeCell ref="D48:J48"/>
    <mergeCell ref="K48:L48"/>
    <mergeCell ref="P48:R48"/>
    <mergeCell ref="K46:L46"/>
    <mergeCell ref="U46:V46"/>
    <mergeCell ref="I45:J45"/>
    <mergeCell ref="K45:L45"/>
    <mergeCell ref="M45:Q45"/>
    <mergeCell ref="I38:J38"/>
    <mergeCell ref="K38:L38"/>
    <mergeCell ref="M38:Q38"/>
    <mergeCell ref="M41:N41"/>
    <mergeCell ref="C31:H31"/>
    <mergeCell ref="I31:J31"/>
    <mergeCell ref="K31:L31"/>
    <mergeCell ref="R31:T31"/>
    <mergeCell ref="K32:L32"/>
    <mergeCell ref="M32:Q32"/>
    <mergeCell ref="M31:Q31"/>
    <mergeCell ref="K25:L25"/>
    <mergeCell ref="M23:O23"/>
    <mergeCell ref="S27:T27"/>
    <mergeCell ref="P27:R27"/>
    <mergeCell ref="K21:L23"/>
    <mergeCell ref="S21:T21"/>
    <mergeCell ref="M24:Q24"/>
    <mergeCell ref="S23:T23"/>
    <mergeCell ref="P22:R22"/>
    <mergeCell ref="M25:Q25"/>
    <mergeCell ref="B56:B60"/>
    <mergeCell ref="D56:J56"/>
    <mergeCell ref="C59:H59"/>
    <mergeCell ref="I59:J59"/>
    <mergeCell ref="C60:H60"/>
    <mergeCell ref="I60:J60"/>
    <mergeCell ref="C57:J57"/>
    <mergeCell ref="B42:B46"/>
    <mergeCell ref="D42:J42"/>
    <mergeCell ref="R60:T60"/>
    <mergeCell ref="U60:V60"/>
    <mergeCell ref="B49:B53"/>
    <mergeCell ref="D49:J49"/>
    <mergeCell ref="C53:H53"/>
    <mergeCell ref="I53:J53"/>
    <mergeCell ref="K42:L44"/>
    <mergeCell ref="M51:O51"/>
    <mergeCell ref="R53:T53"/>
    <mergeCell ref="S58:T58"/>
    <mergeCell ref="S56:T56"/>
    <mergeCell ref="S42:T42"/>
    <mergeCell ref="S55:T55"/>
    <mergeCell ref="S43:T43"/>
    <mergeCell ref="P57:R57"/>
    <mergeCell ref="S57:T57"/>
    <mergeCell ref="R46:T46"/>
    <mergeCell ref="M46:Q46"/>
    <mergeCell ref="C32:H32"/>
    <mergeCell ref="I32:J32"/>
    <mergeCell ref="C46:H46"/>
    <mergeCell ref="I46:J46"/>
    <mergeCell ref="D34:J34"/>
    <mergeCell ref="R38:T38"/>
    <mergeCell ref="K34:L34"/>
    <mergeCell ref="P34:R34"/>
    <mergeCell ref="P36:R36"/>
    <mergeCell ref="S36:T36"/>
    <mergeCell ref="K39:L39"/>
    <mergeCell ref="C36:J36"/>
    <mergeCell ref="C38:H38"/>
    <mergeCell ref="D41:J41"/>
    <mergeCell ref="K41:L41"/>
    <mergeCell ref="D35:J35"/>
    <mergeCell ref="U25:V25"/>
    <mergeCell ref="Z27:AA27"/>
    <mergeCell ref="S28:T28"/>
    <mergeCell ref="S34:T34"/>
    <mergeCell ref="S29:T29"/>
    <mergeCell ref="U28:V28"/>
    <mergeCell ref="S30:T30"/>
    <mergeCell ref="W29:AB29"/>
    <mergeCell ref="U30:V30"/>
    <mergeCell ref="W30:AB30"/>
    <mergeCell ref="Z20:AA20"/>
    <mergeCell ref="W24:AB24"/>
    <mergeCell ref="U24:V24"/>
    <mergeCell ref="Z21:AB21"/>
    <mergeCell ref="W21:Y21"/>
    <mergeCell ref="U21:V21"/>
    <mergeCell ref="W22:AB22"/>
    <mergeCell ref="W23:AB23"/>
    <mergeCell ref="W20:Y20"/>
    <mergeCell ref="C24:H24"/>
    <mergeCell ref="C22:J22"/>
    <mergeCell ref="B17:B18"/>
    <mergeCell ref="D17:J17"/>
    <mergeCell ref="L14:M14"/>
    <mergeCell ref="B12:K12"/>
    <mergeCell ref="P17:R17"/>
    <mergeCell ref="K17:L17"/>
    <mergeCell ref="M17:O17"/>
    <mergeCell ref="B13:D13"/>
    <mergeCell ref="C25:H25"/>
    <mergeCell ref="B21:B25"/>
    <mergeCell ref="I25:J25"/>
    <mergeCell ref="D21:J21"/>
    <mergeCell ref="D20:J20"/>
    <mergeCell ref="K20:L20"/>
    <mergeCell ref="P20:R20"/>
    <mergeCell ref="S20:T20"/>
    <mergeCell ref="S17:V17"/>
    <mergeCell ref="S18:V18"/>
    <mergeCell ref="B2:L2"/>
    <mergeCell ref="O2:AB2"/>
    <mergeCell ref="L11:M11"/>
    <mergeCell ref="K18:L18"/>
    <mergeCell ref="B3:L3"/>
    <mergeCell ref="O3:AB3"/>
    <mergeCell ref="U53:V53"/>
    <mergeCell ref="W53:AB53"/>
    <mergeCell ref="Z42:AB42"/>
    <mergeCell ref="Z49:AB49"/>
    <mergeCell ref="Z48:AA48"/>
    <mergeCell ref="W49:Y49"/>
    <mergeCell ref="W46:AB46"/>
    <mergeCell ref="W45:AB45"/>
    <mergeCell ref="W42:Y42"/>
    <mergeCell ref="W44:AB44"/>
    <mergeCell ref="U42:V42"/>
    <mergeCell ref="U51:V51"/>
    <mergeCell ref="Z56:AB56"/>
    <mergeCell ref="W56:Y56"/>
    <mergeCell ref="U52:V52"/>
    <mergeCell ref="W52:AB52"/>
    <mergeCell ref="U56:V56"/>
    <mergeCell ref="W27:Y27"/>
    <mergeCell ref="W28:Y28"/>
    <mergeCell ref="W38:AB38"/>
    <mergeCell ref="U39:V39"/>
    <mergeCell ref="R52:T52"/>
    <mergeCell ref="W35:Y35"/>
    <mergeCell ref="Z35:AB35"/>
    <mergeCell ref="Z34:AA34"/>
    <mergeCell ref="R45:T45"/>
    <mergeCell ref="U45:V45"/>
    <mergeCell ref="M28:O28"/>
    <mergeCell ref="D28:J28"/>
    <mergeCell ref="C29:J29"/>
    <mergeCell ref="K28:L30"/>
    <mergeCell ref="U44:V44"/>
    <mergeCell ref="W25:AB25"/>
    <mergeCell ref="Z28:AB28"/>
    <mergeCell ref="U32:V32"/>
    <mergeCell ref="W31:AB31"/>
    <mergeCell ref="W32:AB32"/>
    <mergeCell ref="S35:T35"/>
    <mergeCell ref="R32:T32"/>
    <mergeCell ref="P29:R29"/>
    <mergeCell ref="M30:O30"/>
    <mergeCell ref="B35:B39"/>
    <mergeCell ref="K35:L37"/>
    <mergeCell ref="M35:O35"/>
    <mergeCell ref="B28:B32"/>
    <mergeCell ref="C39:H39"/>
    <mergeCell ref="I39:J39"/>
    <mergeCell ref="AJ49:AK49"/>
    <mergeCell ref="AJ56:AK56"/>
    <mergeCell ref="AJ21:AK21"/>
    <mergeCell ref="AJ28:AK28"/>
    <mergeCell ref="AJ35:AK35"/>
    <mergeCell ref="AJ42:AK42"/>
    <mergeCell ref="P41:R41"/>
    <mergeCell ref="C43:J43"/>
    <mergeCell ref="P43:R43"/>
    <mergeCell ref="I24:J24"/>
    <mergeCell ref="K24:L24"/>
    <mergeCell ref="R24:T24"/>
    <mergeCell ref="S41:T41"/>
    <mergeCell ref="S37:T37"/>
    <mergeCell ref="D27:J27"/>
    <mergeCell ref="K27:L27"/>
    <mergeCell ref="D118:J118"/>
    <mergeCell ref="K118:L118"/>
    <mergeCell ref="M118:N118"/>
    <mergeCell ref="U22:V22"/>
    <mergeCell ref="U29:V29"/>
    <mergeCell ref="U36:V36"/>
    <mergeCell ref="U43:V43"/>
    <mergeCell ref="U23:V23"/>
    <mergeCell ref="U37:V37"/>
    <mergeCell ref="S22:T22"/>
    <mergeCell ref="S69:T69"/>
    <mergeCell ref="W69:Y69"/>
    <mergeCell ref="Z69:AA69"/>
    <mergeCell ref="D70:J70"/>
    <mergeCell ref="D69:J69"/>
    <mergeCell ref="K69:L69"/>
    <mergeCell ref="M69:N69"/>
    <mergeCell ref="P69:R69"/>
    <mergeCell ref="Z70:AB70"/>
    <mergeCell ref="B70:B74"/>
    <mergeCell ref="K70:L72"/>
    <mergeCell ref="M70:O70"/>
    <mergeCell ref="U70:V70"/>
    <mergeCell ref="M72:O72"/>
    <mergeCell ref="S72:T72"/>
    <mergeCell ref="U72:V72"/>
    <mergeCell ref="C74:H74"/>
    <mergeCell ref="I74:J74"/>
    <mergeCell ref="K74:L74"/>
    <mergeCell ref="AJ70:AK70"/>
    <mergeCell ref="C71:J71"/>
    <mergeCell ref="M71:N71"/>
    <mergeCell ref="P71:R71"/>
    <mergeCell ref="S71:T71"/>
    <mergeCell ref="U71:V71"/>
    <mergeCell ref="W71:AB71"/>
    <mergeCell ref="S70:T70"/>
    <mergeCell ref="W70:Y70"/>
    <mergeCell ref="U74:V74"/>
    <mergeCell ref="W74:AB74"/>
    <mergeCell ref="W72:AB72"/>
    <mergeCell ref="C73:H73"/>
    <mergeCell ref="I73:J73"/>
    <mergeCell ref="K73:L73"/>
    <mergeCell ref="M73:Q73"/>
    <mergeCell ref="R73:T73"/>
    <mergeCell ref="U73:V73"/>
    <mergeCell ref="W73:AB73"/>
    <mergeCell ref="D76:J76"/>
    <mergeCell ref="K76:L76"/>
    <mergeCell ref="M76:N76"/>
    <mergeCell ref="P76:R76"/>
    <mergeCell ref="M74:Q74"/>
    <mergeCell ref="R74:T74"/>
    <mergeCell ref="S76:T76"/>
    <mergeCell ref="W76:Y76"/>
    <mergeCell ref="Z76:AA76"/>
    <mergeCell ref="B77:B81"/>
    <mergeCell ref="D77:J77"/>
    <mergeCell ref="K77:L79"/>
    <mergeCell ref="M77:O77"/>
    <mergeCell ref="S77:T77"/>
    <mergeCell ref="U77:V77"/>
    <mergeCell ref="W77:Y77"/>
    <mergeCell ref="C78:J78"/>
    <mergeCell ref="M78:N78"/>
    <mergeCell ref="P78:R78"/>
    <mergeCell ref="S78:T78"/>
    <mergeCell ref="U78:V78"/>
    <mergeCell ref="W78:AB78"/>
    <mergeCell ref="M79:O79"/>
    <mergeCell ref="S79:T79"/>
    <mergeCell ref="U79:V79"/>
    <mergeCell ref="W79:AB79"/>
    <mergeCell ref="Z77:AB77"/>
    <mergeCell ref="AJ77:AK77"/>
    <mergeCell ref="W80:AB80"/>
    <mergeCell ref="C81:H81"/>
    <mergeCell ref="I81:J81"/>
    <mergeCell ref="K81:L81"/>
    <mergeCell ref="M81:Q81"/>
    <mergeCell ref="R81:T81"/>
    <mergeCell ref="U81:V81"/>
    <mergeCell ref="W81:AB81"/>
    <mergeCell ref="C80:H80"/>
    <mergeCell ref="I80:J80"/>
    <mergeCell ref="D83:J83"/>
    <mergeCell ref="K83:L83"/>
    <mergeCell ref="M83:N83"/>
    <mergeCell ref="P83:R83"/>
    <mergeCell ref="R80:T80"/>
    <mergeCell ref="U80:V80"/>
    <mergeCell ref="K80:L80"/>
    <mergeCell ref="M80:Q80"/>
    <mergeCell ref="S83:T83"/>
    <mergeCell ref="W83:Y83"/>
    <mergeCell ref="Z83:AA83"/>
    <mergeCell ref="B84:B88"/>
    <mergeCell ref="D84:J84"/>
    <mergeCell ref="K84:L86"/>
    <mergeCell ref="M84:O84"/>
    <mergeCell ref="S84:T84"/>
    <mergeCell ref="U84:V84"/>
    <mergeCell ref="W84:Y84"/>
    <mergeCell ref="C85:J85"/>
    <mergeCell ref="M85:N85"/>
    <mergeCell ref="P85:R85"/>
    <mergeCell ref="S85:T85"/>
    <mergeCell ref="U85:V85"/>
    <mergeCell ref="W85:AB85"/>
    <mergeCell ref="M86:O86"/>
    <mergeCell ref="S86:T86"/>
    <mergeCell ref="U86:V86"/>
    <mergeCell ref="W86:AB86"/>
    <mergeCell ref="Z84:AB84"/>
    <mergeCell ref="AJ84:AK84"/>
    <mergeCell ref="W87:AB87"/>
    <mergeCell ref="C88:H88"/>
    <mergeCell ref="I88:J88"/>
    <mergeCell ref="K88:L88"/>
    <mergeCell ref="M88:Q88"/>
    <mergeCell ref="R88:T88"/>
    <mergeCell ref="U88:V88"/>
    <mergeCell ref="W88:AB88"/>
    <mergeCell ref="C87:H87"/>
    <mergeCell ref="I87:J87"/>
    <mergeCell ref="D90:J90"/>
    <mergeCell ref="K90:L90"/>
    <mergeCell ref="M90:N90"/>
    <mergeCell ref="P90:R90"/>
    <mergeCell ref="R87:T87"/>
    <mergeCell ref="U87:V87"/>
    <mergeCell ref="K87:L87"/>
    <mergeCell ref="M87:Q87"/>
    <mergeCell ref="S90:T90"/>
    <mergeCell ref="W90:Y90"/>
    <mergeCell ref="Z90:AA90"/>
    <mergeCell ref="B91:B95"/>
    <mergeCell ref="D91:J91"/>
    <mergeCell ref="K91:L93"/>
    <mergeCell ref="M91:O91"/>
    <mergeCell ref="S91:T91"/>
    <mergeCell ref="U91:V91"/>
    <mergeCell ref="W91:Y91"/>
    <mergeCell ref="C92:J92"/>
    <mergeCell ref="M92:N92"/>
    <mergeCell ref="P92:R92"/>
    <mergeCell ref="S92:T92"/>
    <mergeCell ref="U92:V92"/>
    <mergeCell ref="W92:AB92"/>
    <mergeCell ref="M93:O93"/>
    <mergeCell ref="S93:T93"/>
    <mergeCell ref="U93:V93"/>
    <mergeCell ref="W93:AB93"/>
    <mergeCell ref="Z91:AB91"/>
    <mergeCell ref="AJ91:AK91"/>
    <mergeCell ref="W94:AB94"/>
    <mergeCell ref="C95:H95"/>
    <mergeCell ref="I95:J95"/>
    <mergeCell ref="K95:L95"/>
    <mergeCell ref="M95:Q95"/>
    <mergeCell ref="R95:T95"/>
    <mergeCell ref="U95:V95"/>
    <mergeCell ref="W95:AB95"/>
    <mergeCell ref="C94:H94"/>
    <mergeCell ref="I94:J94"/>
    <mergeCell ref="D97:J97"/>
    <mergeCell ref="K97:L97"/>
    <mergeCell ref="M97:N97"/>
    <mergeCell ref="P97:R97"/>
    <mergeCell ref="R94:T94"/>
    <mergeCell ref="U94:V94"/>
    <mergeCell ref="K94:L94"/>
    <mergeCell ref="M94:Q94"/>
    <mergeCell ref="S97:T97"/>
    <mergeCell ref="W97:Y97"/>
    <mergeCell ref="Z97:AA97"/>
    <mergeCell ref="B98:B102"/>
    <mergeCell ref="D98:J98"/>
    <mergeCell ref="K98:L100"/>
    <mergeCell ref="M98:O98"/>
    <mergeCell ref="S98:T98"/>
    <mergeCell ref="U98:V98"/>
    <mergeCell ref="W98:Y98"/>
    <mergeCell ref="U100:V100"/>
    <mergeCell ref="W100:AB100"/>
    <mergeCell ref="Z98:AB98"/>
    <mergeCell ref="AJ98:AK98"/>
    <mergeCell ref="C99:J99"/>
    <mergeCell ref="M99:N99"/>
    <mergeCell ref="P99:R99"/>
    <mergeCell ref="S99:T99"/>
    <mergeCell ref="U99:V99"/>
    <mergeCell ref="W99:AB99"/>
    <mergeCell ref="C101:H101"/>
    <mergeCell ref="I101:J101"/>
    <mergeCell ref="K101:L101"/>
    <mergeCell ref="M101:Q101"/>
    <mergeCell ref="M100:O100"/>
    <mergeCell ref="S100:T100"/>
    <mergeCell ref="C102:H102"/>
    <mergeCell ref="I102:J102"/>
    <mergeCell ref="K102:L102"/>
    <mergeCell ref="M102:Q102"/>
    <mergeCell ref="R102:T102"/>
    <mergeCell ref="U102:V102"/>
    <mergeCell ref="K104:L104"/>
    <mergeCell ref="M104:N104"/>
    <mergeCell ref="P104:R104"/>
    <mergeCell ref="R101:T101"/>
    <mergeCell ref="U101:V101"/>
    <mergeCell ref="W101:AB101"/>
    <mergeCell ref="W102:AB102"/>
    <mergeCell ref="W104:Y104"/>
    <mergeCell ref="Z104:AA104"/>
    <mergeCell ref="B105:B109"/>
    <mergeCell ref="D105:J105"/>
    <mergeCell ref="K105:L107"/>
    <mergeCell ref="M105:O105"/>
    <mergeCell ref="S105:T105"/>
    <mergeCell ref="U105:V105"/>
    <mergeCell ref="W105:Y105"/>
    <mergeCell ref="D104:J104"/>
    <mergeCell ref="C106:J106"/>
    <mergeCell ref="M106:N106"/>
    <mergeCell ref="P106:R106"/>
    <mergeCell ref="S106:T106"/>
    <mergeCell ref="U106:V106"/>
    <mergeCell ref="W106:AB106"/>
    <mergeCell ref="M107:O107"/>
    <mergeCell ref="S107:T107"/>
    <mergeCell ref="U107:V107"/>
    <mergeCell ref="W107:AB107"/>
    <mergeCell ref="Z105:AB105"/>
    <mergeCell ref="AJ105:AK105"/>
    <mergeCell ref="W108:AB108"/>
    <mergeCell ref="C109:H109"/>
    <mergeCell ref="I109:J109"/>
    <mergeCell ref="K109:L109"/>
    <mergeCell ref="M109:Q109"/>
    <mergeCell ref="R109:T109"/>
    <mergeCell ref="U109:V109"/>
    <mergeCell ref="W109:AB109"/>
    <mergeCell ref="C108:H108"/>
    <mergeCell ref="I108:J108"/>
    <mergeCell ref="K111:L111"/>
    <mergeCell ref="M111:N111"/>
    <mergeCell ref="P111:R111"/>
    <mergeCell ref="R108:T108"/>
    <mergeCell ref="K108:L108"/>
    <mergeCell ref="M108:Q108"/>
    <mergeCell ref="W111:Y111"/>
    <mergeCell ref="Z111:AA111"/>
    <mergeCell ref="B112:B116"/>
    <mergeCell ref="D112:J112"/>
    <mergeCell ref="K112:L114"/>
    <mergeCell ref="M112:O112"/>
    <mergeCell ref="S112:T112"/>
    <mergeCell ref="U112:V112"/>
    <mergeCell ref="W112:Y112"/>
    <mergeCell ref="D111:J111"/>
    <mergeCell ref="W114:AB114"/>
    <mergeCell ref="Z112:AB112"/>
    <mergeCell ref="AJ112:AK112"/>
    <mergeCell ref="C113:J113"/>
    <mergeCell ref="M113:N113"/>
    <mergeCell ref="P113:R113"/>
    <mergeCell ref="S113:T113"/>
    <mergeCell ref="U113:V113"/>
    <mergeCell ref="W113:AB113"/>
    <mergeCell ref="M114:O114"/>
    <mergeCell ref="C116:H116"/>
    <mergeCell ref="I116:J116"/>
    <mergeCell ref="K116:L116"/>
    <mergeCell ref="M116:Q116"/>
    <mergeCell ref="C115:H115"/>
    <mergeCell ref="I115:J115"/>
    <mergeCell ref="K115:L115"/>
    <mergeCell ref="M115:Q115"/>
    <mergeCell ref="W118:Y118"/>
    <mergeCell ref="Z118:AA118"/>
    <mergeCell ref="R115:T115"/>
    <mergeCell ref="U115:V115"/>
    <mergeCell ref="W115:AB115"/>
    <mergeCell ref="R116:T116"/>
    <mergeCell ref="U116:V116"/>
    <mergeCell ref="W116:AB116"/>
    <mergeCell ref="D119:J119"/>
    <mergeCell ref="K119:L121"/>
    <mergeCell ref="M119:O119"/>
    <mergeCell ref="M121:O121"/>
    <mergeCell ref="C123:H123"/>
    <mergeCell ref="I123:J123"/>
    <mergeCell ref="K123:L123"/>
    <mergeCell ref="M123:Q123"/>
    <mergeCell ref="AJ119:AK119"/>
    <mergeCell ref="C120:J120"/>
    <mergeCell ref="M120:N120"/>
    <mergeCell ref="P120:R120"/>
    <mergeCell ref="S120:T120"/>
    <mergeCell ref="U120:V120"/>
    <mergeCell ref="W120:AB120"/>
    <mergeCell ref="S119:T119"/>
    <mergeCell ref="U119:V119"/>
    <mergeCell ref="W119:Y119"/>
    <mergeCell ref="U108:V108"/>
    <mergeCell ref="S104:T104"/>
    <mergeCell ref="W123:AB123"/>
    <mergeCell ref="S121:T121"/>
    <mergeCell ref="U121:V121"/>
    <mergeCell ref="W121:AB121"/>
    <mergeCell ref="R122:T122"/>
    <mergeCell ref="U122:V122"/>
    <mergeCell ref="W122:AB122"/>
    <mergeCell ref="Z119:AB119"/>
    <mergeCell ref="U123:V123"/>
    <mergeCell ref="P118:R118"/>
    <mergeCell ref="S118:T118"/>
    <mergeCell ref="S114:T114"/>
    <mergeCell ref="U114:V114"/>
    <mergeCell ref="S111:T111"/>
    <mergeCell ref="M122:Q122"/>
    <mergeCell ref="B9:D9"/>
    <mergeCell ref="E9:F9"/>
    <mergeCell ref="G9:I9"/>
    <mergeCell ref="J9:S9"/>
    <mergeCell ref="R25:T25"/>
    <mergeCell ref="R123:T123"/>
    <mergeCell ref="C122:H122"/>
    <mergeCell ref="I122:J122"/>
    <mergeCell ref="K122:L122"/>
    <mergeCell ref="B119:B123"/>
    <mergeCell ref="T9:U9"/>
    <mergeCell ref="V9:AB9"/>
    <mergeCell ref="X17:Y17"/>
    <mergeCell ref="Z17:AB17"/>
    <mergeCell ref="N11:Y11"/>
    <mergeCell ref="N12:Y12"/>
    <mergeCell ref="Z11:AB11"/>
    <mergeCell ref="N13:Y13"/>
    <mergeCell ref="N14:Y14"/>
    <mergeCell ref="N15:Y15"/>
    <mergeCell ref="B11:K11"/>
    <mergeCell ref="B14:I14"/>
    <mergeCell ref="B15:K15"/>
    <mergeCell ref="L15:M15"/>
    <mergeCell ref="L12:M12"/>
    <mergeCell ref="L13:M13"/>
    <mergeCell ref="E13:F13"/>
    <mergeCell ref="G13:K13"/>
    <mergeCell ref="J14:K14"/>
  </mergeCells>
  <phoneticPr fontId="0" type="noConversion"/>
  <pageMargins left="0.39370078740157483" right="0.39370078740157483" top="0.39370078740157483" bottom="0.39370078740157483" header="0" footer="0"/>
  <pageSetup paperSize="9" pageOrder="overThenDown" orientation="landscape" horizontalDpi="200" verticalDpi="200" r:id="rId1"/>
  <headerFooter alignWithMargins="0"/>
  <rowBreaks count="1" manualBreakCount="1">
    <brk id="67" min="1" max="2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218"/>
  <sheetViews>
    <sheetView workbookViewId="0">
      <pane ySplit="1" topLeftCell="A449" activePane="bottomLeft" state="frozen"/>
      <selection pane="bottomLeft" activeCell="K459" sqref="K459"/>
    </sheetView>
  </sheetViews>
  <sheetFormatPr defaultColWidth="9.109375" defaultRowHeight="13.2" x14ac:dyDescent="0.25"/>
  <cols>
    <col min="1" max="1" width="5.6640625" style="221" customWidth="1"/>
    <col min="2" max="2" width="4.6640625" style="37" customWidth="1"/>
    <col min="3" max="3" width="12.6640625" style="8" customWidth="1"/>
    <col min="4" max="4" width="4.6640625" style="37" customWidth="1"/>
    <col min="5" max="5" width="22.6640625" style="8" customWidth="1"/>
    <col min="6" max="6" width="23.6640625" style="8" bestFit="1" customWidth="1"/>
    <col min="7" max="7" width="4.6640625" style="37" customWidth="1"/>
    <col min="8" max="9" width="4.6640625" style="8" customWidth="1"/>
    <col min="10" max="10" width="4.6640625" style="37" customWidth="1"/>
    <col min="11" max="13" width="4.6640625" style="8" customWidth="1"/>
    <col min="14" max="14" width="4.6640625" style="37" customWidth="1"/>
    <col min="15" max="15" width="6.6640625" style="8" customWidth="1"/>
    <col min="16" max="16" width="6.6640625" style="37" customWidth="1"/>
    <col min="17" max="17" width="8.6640625" style="37" customWidth="1"/>
    <col min="18" max="18" width="7.6640625" style="39" customWidth="1"/>
    <col min="19" max="19" width="8.6640625" style="8" customWidth="1"/>
    <col min="20" max="20" width="13.109375" style="28" customWidth="1"/>
    <col min="21" max="21" width="6.6640625" style="8" customWidth="1"/>
    <col min="22" max="16384" width="9.109375" style="8"/>
  </cols>
  <sheetData>
    <row r="1" spans="1:23" ht="39" customHeight="1" thickTop="1" thickBot="1" x14ac:dyDescent="0.3">
      <c r="A1" s="158" t="s">
        <v>1038</v>
      </c>
      <c r="B1" s="158" t="s">
        <v>114</v>
      </c>
      <c r="C1" s="158" t="s">
        <v>110</v>
      </c>
      <c r="D1" s="158" t="s">
        <v>1037</v>
      </c>
      <c r="E1" s="158" t="s">
        <v>2899</v>
      </c>
      <c r="F1" s="158" t="s">
        <v>2900</v>
      </c>
      <c r="G1" s="246" t="s">
        <v>115</v>
      </c>
      <c r="H1" s="246" t="s">
        <v>116</v>
      </c>
      <c r="I1" s="246" t="s">
        <v>117</v>
      </c>
      <c r="J1" s="246" t="s">
        <v>118</v>
      </c>
      <c r="K1" s="246" t="s">
        <v>121</v>
      </c>
      <c r="L1" s="246" t="s">
        <v>119</v>
      </c>
      <c r="M1" s="246" t="s">
        <v>120</v>
      </c>
      <c r="N1" s="246" t="s">
        <v>122</v>
      </c>
      <c r="O1" s="158" t="s">
        <v>2589</v>
      </c>
      <c r="P1" s="158" t="s">
        <v>2588</v>
      </c>
      <c r="Q1" s="158" t="s">
        <v>1039</v>
      </c>
      <c r="R1" s="246" t="s">
        <v>113</v>
      </c>
      <c r="S1" s="158" t="s">
        <v>1292</v>
      </c>
      <c r="T1" s="246" t="s">
        <v>123</v>
      </c>
      <c r="U1" s="158" t="s">
        <v>2590</v>
      </c>
    </row>
    <row r="2" spans="1:23" ht="13.8" thickTop="1" x14ac:dyDescent="0.25">
      <c r="A2" s="226" t="s">
        <v>1370</v>
      </c>
      <c r="B2" s="37" t="s">
        <v>128</v>
      </c>
      <c r="C2" s="8" t="s">
        <v>96</v>
      </c>
      <c r="D2" s="37" t="s">
        <v>922</v>
      </c>
      <c r="E2" s="8" t="s">
        <v>2455</v>
      </c>
      <c r="F2" s="8" t="s">
        <v>2456</v>
      </c>
      <c r="G2" s="38">
        <v>42</v>
      </c>
      <c r="H2" s="38">
        <v>4</v>
      </c>
      <c r="I2" s="38">
        <v>0</v>
      </c>
      <c r="J2" s="37" t="s">
        <v>2902</v>
      </c>
      <c r="K2" s="52">
        <v>13</v>
      </c>
      <c r="L2" s="38">
        <v>33</v>
      </c>
      <c r="M2" s="38">
        <v>25</v>
      </c>
      <c r="N2" s="37" t="s">
        <v>2903</v>
      </c>
      <c r="O2" s="27">
        <v>681</v>
      </c>
      <c r="P2" s="26" t="s">
        <v>191</v>
      </c>
      <c r="Q2" s="27" t="s">
        <v>163</v>
      </c>
      <c r="R2" s="28"/>
      <c r="S2" s="28"/>
      <c r="T2" s="28" t="s">
        <v>2463</v>
      </c>
      <c r="U2" s="45">
        <f t="shared" ref="U2:U33" si="0">IF(O2&lt;&gt;"",O2*3.28,"")</f>
        <v>2233.6799999999998</v>
      </c>
    </row>
    <row r="3" spans="1:23" x14ac:dyDescent="0.25">
      <c r="A3" s="226" t="s">
        <v>1371</v>
      </c>
      <c r="B3" s="37" t="s">
        <v>128</v>
      </c>
      <c r="C3" s="8" t="s">
        <v>96</v>
      </c>
      <c r="D3" s="37" t="s">
        <v>922</v>
      </c>
      <c r="E3" s="8" t="s">
        <v>2464</v>
      </c>
      <c r="F3" s="8" t="s">
        <v>2457</v>
      </c>
      <c r="G3" s="38">
        <v>42</v>
      </c>
      <c r="H3" s="38">
        <v>6</v>
      </c>
      <c r="I3" s="38">
        <v>36</v>
      </c>
      <c r="J3" s="37" t="s">
        <v>2902</v>
      </c>
      <c r="K3" s="52">
        <v>13</v>
      </c>
      <c r="L3" s="38">
        <v>50</v>
      </c>
      <c r="M3" s="38">
        <v>31</v>
      </c>
      <c r="N3" s="37" t="s">
        <v>2903</v>
      </c>
      <c r="O3" s="27">
        <v>360</v>
      </c>
      <c r="P3" s="26" t="s">
        <v>258</v>
      </c>
      <c r="Q3" s="27" t="s">
        <v>388</v>
      </c>
      <c r="R3" s="28"/>
      <c r="S3" s="28"/>
      <c r="T3" s="28" t="s">
        <v>2454</v>
      </c>
      <c r="U3" s="45">
        <f t="shared" si="0"/>
        <v>1180.8</v>
      </c>
    </row>
    <row r="4" spans="1:23" x14ac:dyDescent="0.25">
      <c r="A4" s="226" t="s">
        <v>1372</v>
      </c>
      <c r="B4" s="37" t="s">
        <v>124</v>
      </c>
      <c r="C4" s="8" t="s">
        <v>96</v>
      </c>
      <c r="D4" s="37" t="s">
        <v>922</v>
      </c>
      <c r="E4" s="8" t="s">
        <v>1068</v>
      </c>
      <c r="F4" s="8" t="s">
        <v>1076</v>
      </c>
      <c r="G4" s="38">
        <v>42</v>
      </c>
      <c r="H4" s="38">
        <v>22</v>
      </c>
      <c r="I4" s="38">
        <v>0</v>
      </c>
      <c r="J4" s="37" t="s">
        <v>2902</v>
      </c>
      <c r="K4" s="52">
        <v>13</v>
      </c>
      <c r="L4" s="38">
        <v>18</v>
      </c>
      <c r="M4" s="38">
        <v>0</v>
      </c>
      <c r="N4" s="37" t="s">
        <v>2903</v>
      </c>
      <c r="O4" s="27" t="s">
        <v>588</v>
      </c>
      <c r="P4" s="26" t="s">
        <v>206</v>
      </c>
      <c r="Q4" s="27" t="s">
        <v>589</v>
      </c>
      <c r="R4" s="28" t="s">
        <v>581</v>
      </c>
      <c r="S4" s="28"/>
      <c r="T4" s="28" t="s">
        <v>1105</v>
      </c>
      <c r="U4" s="45">
        <f t="shared" si="0"/>
        <v>2197.6</v>
      </c>
    </row>
    <row r="5" spans="1:23" x14ac:dyDescent="0.25">
      <c r="A5" s="227" t="s">
        <v>1373</v>
      </c>
      <c r="B5" s="47" t="s">
        <v>128</v>
      </c>
      <c r="C5" s="46" t="s">
        <v>96</v>
      </c>
      <c r="D5" s="47" t="s">
        <v>922</v>
      </c>
      <c r="E5" s="46" t="s">
        <v>2452</v>
      </c>
      <c r="F5" s="46" t="s">
        <v>2465</v>
      </c>
      <c r="G5" s="48">
        <v>42</v>
      </c>
      <c r="H5" s="48">
        <v>4</v>
      </c>
      <c r="I5" s="48">
        <v>6</v>
      </c>
      <c r="J5" s="47" t="s">
        <v>2902</v>
      </c>
      <c r="K5" s="53">
        <v>13</v>
      </c>
      <c r="L5" s="48">
        <v>50</v>
      </c>
      <c r="M5" s="48">
        <v>23</v>
      </c>
      <c r="N5" s="47" t="s">
        <v>2903</v>
      </c>
      <c r="O5" s="25">
        <v>360</v>
      </c>
      <c r="P5" s="26" t="s">
        <v>225</v>
      </c>
      <c r="Q5" s="27" t="s">
        <v>2453</v>
      </c>
      <c r="R5" s="28"/>
      <c r="S5" s="28"/>
      <c r="T5" s="28" t="s">
        <v>2454</v>
      </c>
      <c r="U5" s="45">
        <f t="shared" si="0"/>
        <v>1180.8</v>
      </c>
    </row>
    <row r="6" spans="1:23" x14ac:dyDescent="0.25">
      <c r="A6" s="227" t="s">
        <v>1374</v>
      </c>
      <c r="B6" s="47" t="s">
        <v>70</v>
      </c>
      <c r="C6" s="46" t="s">
        <v>96</v>
      </c>
      <c r="D6" s="47" t="s">
        <v>922</v>
      </c>
      <c r="E6" s="46" t="s">
        <v>2466</v>
      </c>
      <c r="F6" s="46" t="s">
        <v>1994</v>
      </c>
      <c r="G6" s="48">
        <v>41</v>
      </c>
      <c r="H6" s="48">
        <v>44</v>
      </c>
      <c r="I6" s="48">
        <v>52</v>
      </c>
      <c r="J6" s="47" t="s">
        <v>2902</v>
      </c>
      <c r="K6" s="53">
        <v>14</v>
      </c>
      <c r="L6" s="48">
        <v>5</v>
      </c>
      <c r="M6" s="48">
        <v>21</v>
      </c>
      <c r="N6" s="47" t="s">
        <v>2903</v>
      </c>
      <c r="O6" s="25" t="s">
        <v>396</v>
      </c>
      <c r="P6" s="26" t="s">
        <v>214</v>
      </c>
      <c r="Q6" s="27" t="s">
        <v>218</v>
      </c>
      <c r="R6" s="28" t="s">
        <v>171</v>
      </c>
      <c r="S6" s="28"/>
      <c r="T6" s="28" t="s">
        <v>2467</v>
      </c>
      <c r="U6" s="45">
        <f t="shared" si="0"/>
        <v>2689.6</v>
      </c>
    </row>
    <row r="7" spans="1:23" x14ac:dyDescent="0.25">
      <c r="A7" s="228" t="s">
        <v>1375</v>
      </c>
      <c r="B7" s="30" t="s">
        <v>70</v>
      </c>
      <c r="C7" s="29" t="s">
        <v>96</v>
      </c>
      <c r="D7" s="30" t="s">
        <v>922</v>
      </c>
      <c r="E7" s="29" t="s">
        <v>2449</v>
      </c>
      <c r="F7" s="29" t="s">
        <v>2450</v>
      </c>
      <c r="G7" s="31">
        <v>42</v>
      </c>
      <c r="H7" s="31">
        <v>1</v>
      </c>
      <c r="I7" s="31">
        <v>0</v>
      </c>
      <c r="J7" s="30" t="s">
        <v>2902</v>
      </c>
      <c r="K7" s="54">
        <v>13</v>
      </c>
      <c r="L7" s="31">
        <v>54</v>
      </c>
      <c r="M7" s="31">
        <v>0</v>
      </c>
      <c r="N7" s="30" t="s">
        <v>2903</v>
      </c>
      <c r="O7" s="25">
        <v>500</v>
      </c>
      <c r="P7" s="26" t="s">
        <v>251</v>
      </c>
      <c r="Q7" s="27" t="s">
        <v>268</v>
      </c>
      <c r="R7" s="28"/>
      <c r="S7" s="28"/>
      <c r="T7" s="28" t="s">
        <v>2451</v>
      </c>
      <c r="U7" s="45">
        <f t="shared" si="0"/>
        <v>1640</v>
      </c>
    </row>
    <row r="8" spans="1:23" x14ac:dyDescent="0.25">
      <c r="A8" s="228" t="s">
        <v>1458</v>
      </c>
      <c r="B8" s="30" t="s">
        <v>70</v>
      </c>
      <c r="C8" s="29" t="s">
        <v>96</v>
      </c>
      <c r="D8" s="30" t="s">
        <v>923</v>
      </c>
      <c r="E8" s="29" t="s">
        <v>603</v>
      </c>
      <c r="F8" s="29" t="s">
        <v>1067</v>
      </c>
      <c r="G8" s="31">
        <v>42</v>
      </c>
      <c r="H8" s="31">
        <v>9</v>
      </c>
      <c r="I8" s="31">
        <v>19</v>
      </c>
      <c r="J8" s="30" t="s">
        <v>2902</v>
      </c>
      <c r="K8" s="54">
        <v>14</v>
      </c>
      <c r="L8" s="31">
        <v>41</v>
      </c>
      <c r="M8" s="31">
        <v>57</v>
      </c>
      <c r="N8" s="30" t="s">
        <v>2903</v>
      </c>
      <c r="O8" s="25" t="s">
        <v>257</v>
      </c>
      <c r="P8" s="26" t="s">
        <v>437</v>
      </c>
      <c r="Q8" s="27" t="s">
        <v>306</v>
      </c>
      <c r="R8" s="28"/>
      <c r="S8" s="28"/>
      <c r="T8" s="28" t="s">
        <v>2468</v>
      </c>
      <c r="U8" s="45">
        <f t="shared" si="0"/>
        <v>196.79999999999998</v>
      </c>
    </row>
    <row r="9" spans="1:23" x14ac:dyDescent="0.25">
      <c r="A9" s="228" t="s">
        <v>1658</v>
      </c>
      <c r="B9" s="30" t="s">
        <v>70</v>
      </c>
      <c r="C9" s="29" t="s">
        <v>96</v>
      </c>
      <c r="D9" s="30" t="s">
        <v>924</v>
      </c>
      <c r="E9" s="29" t="s">
        <v>3056</v>
      </c>
      <c r="F9" s="29" t="s">
        <v>3057</v>
      </c>
      <c r="G9" s="31">
        <v>42</v>
      </c>
      <c r="H9" s="31">
        <v>23</v>
      </c>
      <c r="I9" s="31">
        <v>28</v>
      </c>
      <c r="J9" s="30" t="s">
        <v>2902</v>
      </c>
      <c r="K9" s="54">
        <v>13</v>
      </c>
      <c r="L9" s="31">
        <v>58</v>
      </c>
      <c r="M9" s="31">
        <v>59</v>
      </c>
      <c r="N9" s="30" t="s">
        <v>2903</v>
      </c>
      <c r="O9" s="25">
        <v>180</v>
      </c>
      <c r="P9" s="26" t="s">
        <v>194</v>
      </c>
      <c r="Q9" s="27" t="s">
        <v>609</v>
      </c>
      <c r="R9" s="28" t="s">
        <v>2458</v>
      </c>
      <c r="S9" s="28"/>
      <c r="T9" s="28" t="s">
        <v>1107</v>
      </c>
      <c r="U9" s="45">
        <f t="shared" si="0"/>
        <v>590.4</v>
      </c>
    </row>
    <row r="10" spans="1:23" x14ac:dyDescent="0.25">
      <c r="A10" s="228" t="s">
        <v>1659</v>
      </c>
      <c r="B10" s="30" t="s">
        <v>70</v>
      </c>
      <c r="C10" s="29" t="s">
        <v>96</v>
      </c>
      <c r="D10" s="30" t="s">
        <v>924</v>
      </c>
      <c r="E10" s="29" t="s">
        <v>2469</v>
      </c>
      <c r="F10" s="29" t="s">
        <v>2470</v>
      </c>
      <c r="G10" s="31">
        <v>42</v>
      </c>
      <c r="H10" s="31">
        <v>30</v>
      </c>
      <c r="I10" s="31">
        <v>9</v>
      </c>
      <c r="J10" s="30" t="s">
        <v>2902</v>
      </c>
      <c r="K10" s="54">
        <v>13</v>
      </c>
      <c r="L10" s="31">
        <v>56</v>
      </c>
      <c r="M10" s="31">
        <v>24</v>
      </c>
      <c r="N10" s="30" t="s">
        <v>2903</v>
      </c>
      <c r="O10" s="25">
        <v>200</v>
      </c>
      <c r="P10" s="26" t="s">
        <v>258</v>
      </c>
      <c r="Q10" s="27" t="s">
        <v>207</v>
      </c>
      <c r="R10" s="28"/>
      <c r="S10" s="28"/>
      <c r="T10" s="28" t="s">
        <v>2471</v>
      </c>
      <c r="U10" s="45">
        <f t="shared" si="0"/>
        <v>656</v>
      </c>
    </row>
    <row r="11" spans="1:23" x14ac:dyDescent="0.25">
      <c r="A11" s="228" t="s">
        <v>1660</v>
      </c>
      <c r="B11" s="30" t="s">
        <v>124</v>
      </c>
      <c r="C11" s="29" t="s">
        <v>96</v>
      </c>
      <c r="D11" s="30" t="s">
        <v>924</v>
      </c>
      <c r="E11" s="29" t="s">
        <v>2459</v>
      </c>
      <c r="F11" s="29" t="s">
        <v>2460</v>
      </c>
      <c r="G11" s="31">
        <v>42</v>
      </c>
      <c r="H11" s="31">
        <v>26</v>
      </c>
      <c r="I11" s="31">
        <v>12</v>
      </c>
      <c r="J11" s="30" t="s">
        <v>2902</v>
      </c>
      <c r="K11" s="54">
        <v>14</v>
      </c>
      <c r="L11" s="31">
        <v>11</v>
      </c>
      <c r="M11" s="31">
        <v>14</v>
      </c>
      <c r="N11" s="30" t="s">
        <v>2903</v>
      </c>
      <c r="O11" s="25">
        <v>15</v>
      </c>
      <c r="P11" s="26" t="s">
        <v>194</v>
      </c>
      <c r="Q11" s="27" t="s">
        <v>2461</v>
      </c>
      <c r="R11" s="28" t="s">
        <v>2477</v>
      </c>
      <c r="S11" s="28"/>
      <c r="T11" s="28" t="s">
        <v>2462</v>
      </c>
      <c r="U11" s="45">
        <f t="shared" si="0"/>
        <v>49.199999999999996</v>
      </c>
    </row>
    <row r="12" spans="1:23" x14ac:dyDescent="0.25">
      <c r="A12" s="228" t="s">
        <v>1792</v>
      </c>
      <c r="B12" s="30" t="s">
        <v>70</v>
      </c>
      <c r="C12" s="29" t="s">
        <v>96</v>
      </c>
      <c r="D12" s="30" t="s">
        <v>925</v>
      </c>
      <c r="E12" s="29" t="s">
        <v>2472</v>
      </c>
      <c r="F12" s="29" t="s">
        <v>2473</v>
      </c>
      <c r="G12" s="31">
        <v>42</v>
      </c>
      <c r="H12" s="31">
        <v>48</v>
      </c>
      <c r="I12" s="31">
        <v>8</v>
      </c>
      <c r="J12" s="30" t="s">
        <v>2902</v>
      </c>
      <c r="K12" s="54">
        <v>13</v>
      </c>
      <c r="L12" s="31">
        <v>47</v>
      </c>
      <c r="M12" s="31">
        <v>41</v>
      </c>
      <c r="N12" s="30" t="s">
        <v>2903</v>
      </c>
      <c r="O12" s="25">
        <v>290</v>
      </c>
      <c r="P12" s="26" t="s">
        <v>204</v>
      </c>
      <c r="Q12" s="27" t="s">
        <v>2474</v>
      </c>
      <c r="R12" s="28" t="s">
        <v>2482</v>
      </c>
      <c r="S12" s="28"/>
      <c r="T12" s="28" t="s">
        <v>2475</v>
      </c>
      <c r="U12" s="45">
        <f t="shared" si="0"/>
        <v>951.19999999999993</v>
      </c>
    </row>
    <row r="13" spans="1:23" x14ac:dyDescent="0.25">
      <c r="A13" s="228" t="s">
        <v>1793</v>
      </c>
      <c r="B13" s="30" t="s">
        <v>128</v>
      </c>
      <c r="C13" s="29" t="s">
        <v>96</v>
      </c>
      <c r="D13" s="30" t="s">
        <v>925</v>
      </c>
      <c r="E13" s="29" t="s">
        <v>22</v>
      </c>
      <c r="F13" s="29" t="s">
        <v>23</v>
      </c>
      <c r="G13" s="31">
        <v>42</v>
      </c>
      <c r="H13" s="31">
        <v>48</v>
      </c>
      <c r="I13" s="31">
        <v>23</v>
      </c>
      <c r="J13" s="30" t="s">
        <v>2902</v>
      </c>
      <c r="K13" s="54">
        <v>13</v>
      </c>
      <c r="L13" s="31">
        <v>50</v>
      </c>
      <c r="M13" s="31">
        <v>54</v>
      </c>
      <c r="N13" s="30" t="s">
        <v>2903</v>
      </c>
      <c r="O13" s="25" t="s">
        <v>429</v>
      </c>
      <c r="P13" s="26" t="s">
        <v>258</v>
      </c>
      <c r="Q13" s="27" t="s">
        <v>268</v>
      </c>
      <c r="R13" s="28"/>
      <c r="S13" s="28"/>
      <c r="T13" s="28" t="s">
        <v>1106</v>
      </c>
      <c r="U13" s="45">
        <f t="shared" si="0"/>
        <v>219.76</v>
      </c>
    </row>
    <row r="14" spans="1:23" x14ac:dyDescent="0.25">
      <c r="A14" s="228" t="s">
        <v>1794</v>
      </c>
      <c r="B14" s="30" t="s">
        <v>70</v>
      </c>
      <c r="C14" s="29" t="s">
        <v>96</v>
      </c>
      <c r="D14" s="30" t="s">
        <v>925</v>
      </c>
      <c r="E14" s="29" t="s">
        <v>2165</v>
      </c>
      <c r="F14" s="29" t="s">
        <v>605</v>
      </c>
      <c r="G14" s="31">
        <v>42</v>
      </c>
      <c r="H14" s="31">
        <v>43</v>
      </c>
      <c r="I14" s="31">
        <v>52</v>
      </c>
      <c r="J14" s="30" t="s">
        <v>2902</v>
      </c>
      <c r="K14" s="54">
        <v>13</v>
      </c>
      <c r="L14" s="31">
        <v>53</v>
      </c>
      <c r="M14" s="31">
        <v>36</v>
      </c>
      <c r="N14" s="30" t="s">
        <v>2903</v>
      </c>
      <c r="O14" s="25" t="s">
        <v>190</v>
      </c>
      <c r="P14" s="26" t="s">
        <v>606</v>
      </c>
      <c r="Q14" s="27" t="s">
        <v>607</v>
      </c>
      <c r="R14" s="28" t="s">
        <v>608</v>
      </c>
      <c r="S14" s="28"/>
      <c r="T14" s="28" t="s">
        <v>1108</v>
      </c>
      <c r="U14" s="45">
        <f t="shared" si="0"/>
        <v>656</v>
      </c>
    </row>
    <row r="15" spans="1:23" x14ac:dyDescent="0.25">
      <c r="A15" s="228" t="s">
        <v>1795</v>
      </c>
      <c r="B15" s="30" t="s">
        <v>70</v>
      </c>
      <c r="C15" s="29" t="s">
        <v>96</v>
      </c>
      <c r="D15" s="30" t="s">
        <v>925</v>
      </c>
      <c r="E15" s="29" t="s">
        <v>676</v>
      </c>
      <c r="F15" s="29" t="s">
        <v>2476</v>
      </c>
      <c r="G15" s="31">
        <v>42</v>
      </c>
      <c r="H15" s="31">
        <v>41</v>
      </c>
      <c r="I15" s="31">
        <v>50</v>
      </c>
      <c r="J15" s="30" t="s">
        <v>2902</v>
      </c>
      <c r="K15" s="54">
        <v>13</v>
      </c>
      <c r="L15" s="31">
        <v>55</v>
      </c>
      <c r="M15" s="31">
        <v>2</v>
      </c>
      <c r="N15" s="30" t="s">
        <v>2903</v>
      </c>
      <c r="O15" s="25" t="s">
        <v>559</v>
      </c>
      <c r="P15" s="26" t="s">
        <v>206</v>
      </c>
      <c r="Q15" s="27" t="s">
        <v>245</v>
      </c>
      <c r="R15" s="28" t="s">
        <v>2481</v>
      </c>
      <c r="S15" s="28"/>
      <c r="T15" s="28" t="s">
        <v>1109</v>
      </c>
      <c r="U15" s="45">
        <f t="shared" si="0"/>
        <v>245.99999999999997</v>
      </c>
    </row>
    <row r="16" spans="1:23" s="247" customFormat="1" x14ac:dyDescent="0.25">
      <c r="A16" s="228" t="s">
        <v>1618</v>
      </c>
      <c r="B16" s="30" t="s">
        <v>128</v>
      </c>
      <c r="C16" s="29" t="s">
        <v>109</v>
      </c>
      <c r="D16" s="30" t="s">
        <v>926</v>
      </c>
      <c r="E16" s="29" t="s">
        <v>2483</v>
      </c>
      <c r="F16" s="29" t="s">
        <v>2484</v>
      </c>
      <c r="G16" s="31">
        <v>40</v>
      </c>
      <c r="H16" s="31">
        <v>33</v>
      </c>
      <c r="I16" s="31">
        <v>56</v>
      </c>
      <c r="J16" s="30" t="s">
        <v>2902</v>
      </c>
      <c r="K16" s="54">
        <v>16</v>
      </c>
      <c r="L16" s="31">
        <v>35</v>
      </c>
      <c r="M16" s="31">
        <v>33</v>
      </c>
      <c r="N16" s="30" t="s">
        <v>2903</v>
      </c>
      <c r="O16" s="25">
        <v>70</v>
      </c>
      <c r="P16" s="26" t="s">
        <v>277</v>
      </c>
      <c r="Q16" s="27" t="s">
        <v>478</v>
      </c>
      <c r="R16" s="28" t="s">
        <v>171</v>
      </c>
      <c r="S16" s="28"/>
      <c r="T16" s="28" t="s">
        <v>2485</v>
      </c>
      <c r="U16" s="45">
        <f t="shared" si="0"/>
        <v>229.6</v>
      </c>
      <c r="V16" s="8"/>
      <c r="W16" s="8"/>
    </row>
    <row r="17" spans="1:23" x14ac:dyDescent="0.25">
      <c r="A17" s="228" t="s">
        <v>1619</v>
      </c>
      <c r="B17" s="30" t="s">
        <v>128</v>
      </c>
      <c r="C17" s="29" t="s">
        <v>109</v>
      </c>
      <c r="D17" s="30" t="s">
        <v>926</v>
      </c>
      <c r="E17" s="29" t="s">
        <v>3004</v>
      </c>
      <c r="F17" s="29" t="s">
        <v>2486</v>
      </c>
      <c r="G17" s="31">
        <v>40</v>
      </c>
      <c r="H17" s="31">
        <v>25</v>
      </c>
      <c r="I17" s="31">
        <v>50</v>
      </c>
      <c r="J17" s="30" t="s">
        <v>2902</v>
      </c>
      <c r="K17" s="54">
        <v>16</v>
      </c>
      <c r="L17" s="31">
        <v>33</v>
      </c>
      <c r="M17" s="31">
        <v>30</v>
      </c>
      <c r="N17" s="30" t="s">
        <v>2903</v>
      </c>
      <c r="O17" s="25"/>
      <c r="P17" s="26" t="s">
        <v>251</v>
      </c>
      <c r="Q17" s="27" t="s">
        <v>663</v>
      </c>
      <c r="R17" s="28"/>
      <c r="S17" s="28"/>
      <c r="T17" s="28" t="s">
        <v>2487</v>
      </c>
      <c r="U17" s="45" t="str">
        <f t="shared" si="0"/>
        <v/>
      </c>
    </row>
    <row r="18" spans="1:23" x14ac:dyDescent="0.25">
      <c r="A18" s="228" t="s">
        <v>1620</v>
      </c>
      <c r="B18" s="30" t="s">
        <v>70</v>
      </c>
      <c r="C18" s="29" t="s">
        <v>109</v>
      </c>
      <c r="D18" s="30" t="s">
        <v>926</v>
      </c>
      <c r="E18" s="29" t="s">
        <v>3004</v>
      </c>
      <c r="F18" s="29" t="s">
        <v>1077</v>
      </c>
      <c r="G18" s="31">
        <v>40</v>
      </c>
      <c r="H18" s="31">
        <v>23</v>
      </c>
      <c r="I18" s="31">
        <v>50</v>
      </c>
      <c r="J18" s="30" t="s">
        <v>2902</v>
      </c>
      <c r="K18" s="54">
        <v>16</v>
      </c>
      <c r="L18" s="31">
        <v>38</v>
      </c>
      <c r="M18" s="31">
        <v>10</v>
      </c>
      <c r="N18" s="30" t="s">
        <v>2903</v>
      </c>
      <c r="O18" s="25">
        <v>50</v>
      </c>
      <c r="P18" s="26" t="s">
        <v>225</v>
      </c>
      <c r="Q18" s="27" t="s">
        <v>386</v>
      </c>
      <c r="R18" s="28"/>
      <c r="S18" s="28"/>
      <c r="T18" s="28" t="s">
        <v>407</v>
      </c>
      <c r="U18" s="45">
        <f t="shared" si="0"/>
        <v>164</v>
      </c>
    </row>
    <row r="19" spans="1:23" x14ac:dyDescent="0.25">
      <c r="A19" s="228" t="s">
        <v>1716</v>
      </c>
      <c r="B19" s="30" t="s">
        <v>128</v>
      </c>
      <c r="C19" s="29" t="s">
        <v>109</v>
      </c>
      <c r="D19" s="30" t="s">
        <v>927</v>
      </c>
      <c r="E19" s="29" t="s">
        <v>3064</v>
      </c>
      <c r="F19" s="29" t="s">
        <v>1078</v>
      </c>
      <c r="G19" s="31">
        <v>40</v>
      </c>
      <c r="H19" s="31">
        <v>16</v>
      </c>
      <c r="I19" s="31">
        <v>13</v>
      </c>
      <c r="J19" s="30" t="s">
        <v>2902</v>
      </c>
      <c r="K19" s="54">
        <v>15</v>
      </c>
      <c r="L19" s="31">
        <v>55</v>
      </c>
      <c r="M19" s="31">
        <v>4</v>
      </c>
      <c r="N19" s="30" t="s">
        <v>2903</v>
      </c>
      <c r="O19" s="25" t="s">
        <v>459</v>
      </c>
      <c r="P19" s="26" t="s">
        <v>251</v>
      </c>
      <c r="Q19" s="27" t="s">
        <v>460</v>
      </c>
      <c r="R19" s="28" t="s">
        <v>461</v>
      </c>
      <c r="S19" s="28"/>
      <c r="T19" s="28" t="s">
        <v>1110</v>
      </c>
      <c r="U19" s="45">
        <f t="shared" si="0"/>
        <v>2004.08</v>
      </c>
    </row>
    <row r="20" spans="1:23" x14ac:dyDescent="0.25">
      <c r="A20" s="228" t="s">
        <v>1717</v>
      </c>
      <c r="B20" s="30" t="s">
        <v>128</v>
      </c>
      <c r="C20" s="29" t="s">
        <v>109</v>
      </c>
      <c r="D20" s="30" t="s">
        <v>927</v>
      </c>
      <c r="E20" s="29" t="s">
        <v>2488</v>
      </c>
      <c r="F20" s="29" t="s">
        <v>2490</v>
      </c>
      <c r="G20" s="31">
        <v>41</v>
      </c>
      <c r="H20" s="31">
        <v>6</v>
      </c>
      <c r="I20" s="31">
        <v>15</v>
      </c>
      <c r="J20" s="30" t="s">
        <v>2902</v>
      </c>
      <c r="K20" s="54">
        <v>15</v>
      </c>
      <c r="L20" s="31">
        <v>52</v>
      </c>
      <c r="M20" s="31">
        <v>34</v>
      </c>
      <c r="N20" s="30" t="s">
        <v>2903</v>
      </c>
      <c r="O20" s="25">
        <v>152</v>
      </c>
      <c r="P20" s="26" t="s">
        <v>279</v>
      </c>
      <c r="Q20" s="27" t="s">
        <v>2491</v>
      </c>
      <c r="R20" s="28"/>
      <c r="S20" s="28"/>
      <c r="T20" s="28" t="s">
        <v>2492</v>
      </c>
      <c r="U20" s="45">
        <f t="shared" si="0"/>
        <v>498.55999999999995</v>
      </c>
    </row>
    <row r="21" spans="1:23" x14ac:dyDescent="0.25">
      <c r="A21" s="228" t="s">
        <v>1718</v>
      </c>
      <c r="B21" s="30" t="s">
        <v>128</v>
      </c>
      <c r="C21" s="29" t="s">
        <v>109</v>
      </c>
      <c r="D21" s="30" t="s">
        <v>927</v>
      </c>
      <c r="E21" s="29" t="s">
        <v>3065</v>
      </c>
      <c r="F21" s="29" t="s">
        <v>1993</v>
      </c>
      <c r="G21" s="31">
        <v>40</v>
      </c>
      <c r="H21" s="31">
        <v>33</v>
      </c>
      <c r="I21" s="31">
        <v>42</v>
      </c>
      <c r="J21" s="30" t="s">
        <v>2902</v>
      </c>
      <c r="K21" s="54">
        <v>15</v>
      </c>
      <c r="L21" s="31">
        <v>45</v>
      </c>
      <c r="M21" s="31">
        <v>25</v>
      </c>
      <c r="N21" s="30" t="s">
        <v>2903</v>
      </c>
      <c r="O21" s="25" t="s">
        <v>294</v>
      </c>
      <c r="P21" s="26" t="s">
        <v>251</v>
      </c>
      <c r="Q21" s="27" t="s">
        <v>226</v>
      </c>
      <c r="R21" s="28" t="s">
        <v>171</v>
      </c>
      <c r="S21" s="28"/>
      <c r="T21" s="28" t="s">
        <v>1111</v>
      </c>
      <c r="U21" s="45">
        <f t="shared" si="0"/>
        <v>2624</v>
      </c>
    </row>
    <row r="22" spans="1:23" s="247" customFormat="1" x14ac:dyDescent="0.25">
      <c r="A22" s="228" t="s">
        <v>1923</v>
      </c>
      <c r="B22" s="30" t="s">
        <v>70</v>
      </c>
      <c r="C22" s="29" t="s">
        <v>106</v>
      </c>
      <c r="D22" s="30" t="s">
        <v>928</v>
      </c>
      <c r="E22" s="29" t="s">
        <v>2504</v>
      </c>
      <c r="F22" s="29" t="s">
        <v>2505</v>
      </c>
      <c r="G22" s="31">
        <v>39</v>
      </c>
      <c r="H22" s="31">
        <v>34</v>
      </c>
      <c r="I22" s="31">
        <v>20</v>
      </c>
      <c r="J22" s="30" t="s">
        <v>2902</v>
      </c>
      <c r="K22" s="54">
        <v>15</v>
      </c>
      <c r="L22" s="31">
        <v>52</v>
      </c>
      <c r="M22" s="31">
        <v>50</v>
      </c>
      <c r="N22" s="30" t="s">
        <v>2903</v>
      </c>
      <c r="O22" s="25"/>
      <c r="P22" s="26" t="s">
        <v>267</v>
      </c>
      <c r="Q22" s="27" t="s">
        <v>624</v>
      </c>
      <c r="R22" s="28" t="s">
        <v>171</v>
      </c>
      <c r="S22" s="28"/>
      <c r="T22" s="28" t="s">
        <v>2506</v>
      </c>
      <c r="U22" s="45" t="str">
        <f t="shared" si="0"/>
        <v/>
      </c>
      <c r="V22" s="8"/>
      <c r="W22" s="8"/>
    </row>
    <row r="23" spans="1:23" x14ac:dyDescent="0.25">
      <c r="A23" s="229" t="s">
        <v>1481</v>
      </c>
      <c r="B23" s="248" t="s">
        <v>70</v>
      </c>
      <c r="C23" s="249" t="s">
        <v>106</v>
      </c>
      <c r="D23" s="248" t="s">
        <v>928</v>
      </c>
      <c r="E23" s="249" t="s">
        <v>569</v>
      </c>
      <c r="F23" s="249" t="s">
        <v>570</v>
      </c>
      <c r="G23" s="250">
        <v>39</v>
      </c>
      <c r="H23" s="250">
        <v>51</v>
      </c>
      <c r="I23" s="250">
        <v>10</v>
      </c>
      <c r="J23" s="251" t="s">
        <v>2902</v>
      </c>
      <c r="K23" s="252">
        <v>16</v>
      </c>
      <c r="L23" s="250">
        <v>11</v>
      </c>
      <c r="M23" s="250">
        <v>54</v>
      </c>
      <c r="N23" s="248" t="s">
        <v>2903</v>
      </c>
      <c r="O23" s="253" t="s">
        <v>571</v>
      </c>
      <c r="P23" s="254" t="s">
        <v>204</v>
      </c>
      <c r="Q23" s="255" t="s">
        <v>1221</v>
      </c>
      <c r="R23" s="256" t="s">
        <v>171</v>
      </c>
      <c r="S23" s="257"/>
      <c r="T23" s="257" t="s">
        <v>1040</v>
      </c>
      <c r="U23" s="258">
        <f t="shared" si="0"/>
        <v>2099.1999999999998</v>
      </c>
      <c r="V23" s="259"/>
      <c r="W23" s="259"/>
    </row>
    <row r="24" spans="1:23" x14ac:dyDescent="0.25">
      <c r="A24" s="229" t="s">
        <v>1924</v>
      </c>
      <c r="B24" s="248" t="s">
        <v>70</v>
      </c>
      <c r="C24" s="249" t="s">
        <v>106</v>
      </c>
      <c r="D24" s="248" t="s">
        <v>928</v>
      </c>
      <c r="E24" s="249" t="s">
        <v>1348</v>
      </c>
      <c r="F24" s="249" t="s">
        <v>1349</v>
      </c>
      <c r="G24" s="250">
        <v>39</v>
      </c>
      <c r="H24" s="250">
        <v>26</v>
      </c>
      <c r="I24" s="250">
        <v>50</v>
      </c>
      <c r="J24" s="251" t="s">
        <v>2902</v>
      </c>
      <c r="K24" s="252">
        <v>16</v>
      </c>
      <c r="L24" s="250">
        <v>0</v>
      </c>
      <c r="M24" s="250">
        <v>0</v>
      </c>
      <c r="N24" s="248" t="s">
        <v>2903</v>
      </c>
      <c r="O24" s="253">
        <v>5</v>
      </c>
      <c r="P24" s="254"/>
      <c r="Q24" s="255" t="s">
        <v>1350</v>
      </c>
      <c r="R24" s="256"/>
      <c r="S24" s="257"/>
      <c r="T24" s="257"/>
      <c r="U24" s="258">
        <f t="shared" si="0"/>
        <v>16.399999999999999</v>
      </c>
      <c r="V24" s="259"/>
      <c r="W24" s="259"/>
    </row>
    <row r="25" spans="1:23" x14ac:dyDescent="0.25">
      <c r="A25" s="229" t="s">
        <v>1482</v>
      </c>
      <c r="B25" s="248" t="s">
        <v>70</v>
      </c>
      <c r="C25" s="249" t="s">
        <v>106</v>
      </c>
      <c r="D25" s="248" t="s">
        <v>928</v>
      </c>
      <c r="E25" s="249" t="s">
        <v>1348</v>
      </c>
      <c r="F25" s="249" t="s">
        <v>1293</v>
      </c>
      <c r="G25" s="250">
        <v>40</v>
      </c>
      <c r="H25" s="250">
        <v>30</v>
      </c>
      <c r="I25" s="250">
        <v>45</v>
      </c>
      <c r="J25" s="251" t="s">
        <v>2902</v>
      </c>
      <c r="K25" s="252">
        <v>16</v>
      </c>
      <c r="L25" s="250">
        <v>27</v>
      </c>
      <c r="M25" s="250">
        <v>49</v>
      </c>
      <c r="N25" s="248" t="s">
        <v>2903</v>
      </c>
      <c r="O25" s="253"/>
      <c r="P25" s="254" t="s">
        <v>267</v>
      </c>
      <c r="Q25" s="255" t="s">
        <v>2119</v>
      </c>
      <c r="R25" s="256"/>
      <c r="S25" s="257"/>
      <c r="T25" s="257"/>
      <c r="U25" s="258" t="str">
        <f t="shared" si="0"/>
        <v/>
      </c>
      <c r="V25" s="259"/>
      <c r="W25" s="259"/>
    </row>
    <row r="26" spans="1:23" x14ac:dyDescent="0.25">
      <c r="A26" s="228" t="s">
        <v>1483</v>
      </c>
      <c r="B26" s="30" t="s">
        <v>70</v>
      </c>
      <c r="C26" s="29" t="s">
        <v>106</v>
      </c>
      <c r="D26" s="30" t="s">
        <v>928</v>
      </c>
      <c r="E26" s="29" t="s">
        <v>452</v>
      </c>
      <c r="F26" s="29" t="s">
        <v>452</v>
      </c>
      <c r="G26" s="31">
        <v>39</v>
      </c>
      <c r="H26" s="31">
        <v>23</v>
      </c>
      <c r="I26" s="31">
        <v>48</v>
      </c>
      <c r="J26" s="30" t="s">
        <v>2902</v>
      </c>
      <c r="K26" s="54">
        <v>16</v>
      </c>
      <c r="L26" s="31">
        <v>13</v>
      </c>
      <c r="M26" s="31">
        <v>36</v>
      </c>
      <c r="N26" s="30" t="s">
        <v>2903</v>
      </c>
      <c r="O26" s="25" t="s">
        <v>428</v>
      </c>
      <c r="P26" s="26" t="s">
        <v>204</v>
      </c>
      <c r="Q26" s="27" t="s">
        <v>453</v>
      </c>
      <c r="R26" s="28" t="s">
        <v>171</v>
      </c>
      <c r="S26" s="28"/>
      <c r="T26" s="28" t="s">
        <v>1112</v>
      </c>
      <c r="U26" s="45">
        <f t="shared" si="0"/>
        <v>590.4</v>
      </c>
    </row>
    <row r="27" spans="1:23" x14ac:dyDescent="0.25">
      <c r="A27" s="228" t="s">
        <v>1484</v>
      </c>
      <c r="B27" s="37" t="s">
        <v>70</v>
      </c>
      <c r="C27" s="8" t="s">
        <v>106</v>
      </c>
      <c r="D27" s="37" t="s">
        <v>928</v>
      </c>
      <c r="E27" s="8" t="s">
        <v>2958</v>
      </c>
      <c r="F27" s="8" t="s">
        <v>2959</v>
      </c>
      <c r="G27" s="38">
        <v>39</v>
      </c>
      <c r="H27" s="38">
        <v>45</v>
      </c>
      <c r="I27" s="38">
        <v>20</v>
      </c>
      <c r="J27" s="37" t="s">
        <v>2902</v>
      </c>
      <c r="K27" s="52">
        <v>15</v>
      </c>
      <c r="L27" s="38">
        <v>48</v>
      </c>
      <c r="M27" s="38">
        <v>10</v>
      </c>
      <c r="N27" s="37" t="s">
        <v>2903</v>
      </c>
      <c r="O27" s="27" t="s">
        <v>463</v>
      </c>
      <c r="P27" s="26" t="s">
        <v>204</v>
      </c>
      <c r="Q27" s="27" t="s">
        <v>131</v>
      </c>
      <c r="R27" s="28"/>
      <c r="S27" s="28"/>
      <c r="T27" s="28" t="s">
        <v>1113</v>
      </c>
      <c r="U27" s="45">
        <f t="shared" si="0"/>
        <v>9.84</v>
      </c>
    </row>
    <row r="28" spans="1:23" x14ac:dyDescent="0.25">
      <c r="A28" s="228" t="s">
        <v>1485</v>
      </c>
      <c r="B28" s="37" t="s">
        <v>70</v>
      </c>
      <c r="C28" s="8" t="s">
        <v>106</v>
      </c>
      <c r="D28" s="5" t="s">
        <v>928</v>
      </c>
      <c r="E28" s="4" t="s">
        <v>2960</v>
      </c>
      <c r="F28" s="4" t="s">
        <v>2961</v>
      </c>
      <c r="G28" s="32">
        <v>39</v>
      </c>
      <c r="H28" s="32">
        <v>44</v>
      </c>
      <c r="I28" s="32">
        <v>32</v>
      </c>
      <c r="J28" s="37" t="s">
        <v>2902</v>
      </c>
      <c r="K28" s="51">
        <v>16</v>
      </c>
      <c r="L28" s="32">
        <v>27</v>
      </c>
      <c r="M28" s="32">
        <v>49</v>
      </c>
      <c r="N28" s="37" t="s">
        <v>2903</v>
      </c>
      <c r="O28" s="33" t="s">
        <v>262</v>
      </c>
      <c r="P28" s="26" t="s">
        <v>1941</v>
      </c>
      <c r="Q28" s="27" t="s">
        <v>1942</v>
      </c>
      <c r="R28" s="28"/>
      <c r="S28" s="28"/>
      <c r="T28" s="28" t="s">
        <v>1114</v>
      </c>
      <c r="U28" s="45">
        <f t="shared" si="0"/>
        <v>49.199999999999996</v>
      </c>
    </row>
    <row r="29" spans="1:23" x14ac:dyDescent="0.25">
      <c r="A29" s="228" t="s">
        <v>1495</v>
      </c>
      <c r="B29" s="37" t="s">
        <v>124</v>
      </c>
      <c r="C29" s="8" t="s">
        <v>106</v>
      </c>
      <c r="D29" s="37" t="s">
        <v>929</v>
      </c>
      <c r="E29" s="8" t="s">
        <v>2493</v>
      </c>
      <c r="F29" s="8" t="s">
        <v>2494</v>
      </c>
      <c r="G29" s="38">
        <v>38</v>
      </c>
      <c r="H29" s="38">
        <v>54</v>
      </c>
      <c r="I29" s="38">
        <v>28</v>
      </c>
      <c r="J29" s="37" t="s">
        <v>2902</v>
      </c>
      <c r="K29" s="52">
        <v>16</v>
      </c>
      <c r="L29" s="38">
        <v>14</v>
      </c>
      <c r="M29" s="38">
        <v>30</v>
      </c>
      <c r="N29" s="37" t="s">
        <v>2903</v>
      </c>
      <c r="O29" s="27">
        <v>15</v>
      </c>
      <c r="P29" s="26" t="s">
        <v>267</v>
      </c>
      <c r="Q29" s="27" t="s">
        <v>2495</v>
      </c>
      <c r="R29" s="28"/>
      <c r="S29" s="28"/>
      <c r="T29" s="28" t="s">
        <v>2496</v>
      </c>
      <c r="U29" s="45">
        <f t="shared" si="0"/>
        <v>49.199999999999996</v>
      </c>
    </row>
    <row r="30" spans="1:23" x14ac:dyDescent="0.25">
      <c r="A30" s="228" t="s">
        <v>1542</v>
      </c>
      <c r="B30" s="5" t="s">
        <v>124</v>
      </c>
      <c r="C30" s="4" t="s">
        <v>106</v>
      </c>
      <c r="D30" s="5" t="s">
        <v>930</v>
      </c>
      <c r="E30" s="4" t="s">
        <v>2497</v>
      </c>
      <c r="F30" s="4" t="s">
        <v>2531</v>
      </c>
      <c r="G30" s="32">
        <v>38</v>
      </c>
      <c r="H30" s="32">
        <v>59</v>
      </c>
      <c r="I30" s="32">
        <v>46</v>
      </c>
      <c r="J30" s="5" t="s">
        <v>2902</v>
      </c>
      <c r="K30" s="51">
        <v>17</v>
      </c>
      <c r="L30" s="32">
        <v>4</v>
      </c>
      <c r="M30" s="32">
        <v>45</v>
      </c>
      <c r="N30" s="5" t="s">
        <v>2903</v>
      </c>
      <c r="O30" s="33">
        <v>160</v>
      </c>
      <c r="P30" s="26" t="s">
        <v>214</v>
      </c>
      <c r="Q30" s="27" t="s">
        <v>2498</v>
      </c>
      <c r="R30" s="28"/>
      <c r="S30" s="28"/>
      <c r="T30" s="28" t="s">
        <v>2499</v>
      </c>
      <c r="U30" s="45">
        <f t="shared" si="0"/>
        <v>524.79999999999995</v>
      </c>
    </row>
    <row r="31" spans="1:23" s="247" customFormat="1" x14ac:dyDescent="0.25">
      <c r="A31" s="228" t="s">
        <v>1543</v>
      </c>
      <c r="B31" s="5" t="s">
        <v>70</v>
      </c>
      <c r="C31" s="4" t="s">
        <v>106</v>
      </c>
      <c r="D31" s="5" t="s">
        <v>930</v>
      </c>
      <c r="E31" s="4" t="s">
        <v>2532</v>
      </c>
      <c r="F31" s="4" t="s">
        <v>2533</v>
      </c>
      <c r="G31" s="32">
        <v>38</v>
      </c>
      <c r="H31" s="32">
        <v>49</v>
      </c>
      <c r="I31" s="32">
        <v>31</v>
      </c>
      <c r="J31" s="5" t="s">
        <v>2902</v>
      </c>
      <c r="K31" s="51">
        <v>16</v>
      </c>
      <c r="L31" s="32">
        <v>34</v>
      </c>
      <c r="M31" s="32">
        <v>30</v>
      </c>
      <c r="N31" s="5" t="s">
        <v>2903</v>
      </c>
      <c r="O31" s="33">
        <v>50</v>
      </c>
      <c r="P31" s="26" t="s">
        <v>342</v>
      </c>
      <c r="Q31" s="27" t="s">
        <v>256</v>
      </c>
      <c r="R31" s="28" t="s">
        <v>2534</v>
      </c>
      <c r="S31" s="28"/>
      <c r="T31" s="28" t="s">
        <v>2535</v>
      </c>
      <c r="U31" s="45">
        <f t="shared" si="0"/>
        <v>164</v>
      </c>
      <c r="V31" s="8"/>
      <c r="W31" s="8"/>
    </row>
    <row r="32" spans="1:23" x14ac:dyDescent="0.25">
      <c r="A32" s="228" t="s">
        <v>1725</v>
      </c>
      <c r="B32" s="37" t="s">
        <v>124</v>
      </c>
      <c r="C32" s="8" t="s">
        <v>106</v>
      </c>
      <c r="D32" s="37" t="s">
        <v>931</v>
      </c>
      <c r="E32" s="8" t="s">
        <v>2500</v>
      </c>
      <c r="F32" s="8" t="s">
        <v>2501</v>
      </c>
      <c r="G32" s="38">
        <v>38</v>
      </c>
      <c r="H32" s="38">
        <v>4</v>
      </c>
      <c r="I32" s="38">
        <v>17</v>
      </c>
      <c r="J32" s="37" t="s">
        <v>2902</v>
      </c>
      <c r="K32" s="52">
        <v>15</v>
      </c>
      <c r="L32" s="38">
        <v>39</v>
      </c>
      <c r="M32" s="38">
        <v>13</v>
      </c>
      <c r="N32" s="37" t="s">
        <v>2903</v>
      </c>
      <c r="O32" s="27">
        <v>26</v>
      </c>
      <c r="P32" s="26" t="s">
        <v>277</v>
      </c>
      <c r="Q32" s="27" t="s">
        <v>2502</v>
      </c>
      <c r="R32" s="28" t="s">
        <v>2536</v>
      </c>
      <c r="S32" s="28"/>
      <c r="T32" s="28" t="s">
        <v>2503</v>
      </c>
      <c r="U32" s="45">
        <f t="shared" si="0"/>
        <v>85.28</v>
      </c>
    </row>
    <row r="33" spans="1:23" x14ac:dyDescent="0.25">
      <c r="A33" s="228" t="s">
        <v>1921</v>
      </c>
      <c r="B33" s="5" t="s">
        <v>70</v>
      </c>
      <c r="C33" s="8" t="s">
        <v>106</v>
      </c>
      <c r="D33" s="5" t="s">
        <v>932</v>
      </c>
      <c r="E33" s="4" t="s">
        <v>1079</v>
      </c>
      <c r="F33" s="4" t="s">
        <v>61</v>
      </c>
      <c r="G33" s="32">
        <v>38</v>
      </c>
      <c r="H33" s="32">
        <v>36</v>
      </c>
      <c r="I33" s="32">
        <v>50</v>
      </c>
      <c r="J33" s="37" t="s">
        <v>2902</v>
      </c>
      <c r="K33" s="51">
        <v>15</v>
      </c>
      <c r="L33" s="32">
        <v>57</v>
      </c>
      <c r="M33" s="32">
        <v>41</v>
      </c>
      <c r="N33" s="37" t="s">
        <v>2903</v>
      </c>
      <c r="O33" s="33" t="s">
        <v>470</v>
      </c>
      <c r="P33" s="26" t="s">
        <v>258</v>
      </c>
      <c r="Q33" s="27" t="s">
        <v>471</v>
      </c>
      <c r="R33" s="28"/>
      <c r="S33" s="28"/>
      <c r="T33" s="28" t="s">
        <v>472</v>
      </c>
      <c r="U33" s="45">
        <f t="shared" si="0"/>
        <v>1869.6</v>
      </c>
    </row>
    <row r="34" spans="1:23" x14ac:dyDescent="0.25">
      <c r="A34" s="228" t="s">
        <v>1922</v>
      </c>
      <c r="B34" s="248" t="s">
        <v>128</v>
      </c>
      <c r="C34" s="249" t="s">
        <v>106</v>
      </c>
      <c r="D34" s="248" t="s">
        <v>932</v>
      </c>
      <c r="E34" s="249" t="s">
        <v>1346</v>
      </c>
      <c r="F34" s="249" t="s">
        <v>1347</v>
      </c>
      <c r="G34" s="250">
        <v>38</v>
      </c>
      <c r="H34" s="250">
        <v>38</v>
      </c>
      <c r="I34" s="250">
        <v>20</v>
      </c>
      <c r="J34" s="251" t="s">
        <v>2902</v>
      </c>
      <c r="K34" s="252">
        <v>16</v>
      </c>
      <c r="L34" s="250">
        <v>2</v>
      </c>
      <c r="M34" s="250">
        <v>47</v>
      </c>
      <c r="N34" s="248" t="s">
        <v>2903</v>
      </c>
      <c r="O34" s="253">
        <v>550</v>
      </c>
      <c r="P34" s="260" t="s">
        <v>267</v>
      </c>
      <c r="Q34" s="261" t="s">
        <v>2370</v>
      </c>
      <c r="R34" s="262"/>
      <c r="S34" s="263"/>
      <c r="T34" s="263"/>
      <c r="U34" s="264">
        <v>1800</v>
      </c>
      <c r="V34" s="259"/>
      <c r="W34" s="259"/>
    </row>
    <row r="35" spans="1:23" x14ac:dyDescent="0.25">
      <c r="A35" s="228" t="s">
        <v>1408</v>
      </c>
      <c r="B35" s="30" t="s">
        <v>128</v>
      </c>
      <c r="C35" s="29" t="s">
        <v>102</v>
      </c>
      <c r="D35" s="30" t="s">
        <v>933</v>
      </c>
      <c r="E35" s="29" t="s">
        <v>473</v>
      </c>
      <c r="F35" s="29" t="s">
        <v>474</v>
      </c>
      <c r="G35" s="31">
        <v>41</v>
      </c>
      <c r="H35" s="31">
        <v>10</v>
      </c>
      <c r="I35" s="31">
        <v>37</v>
      </c>
      <c r="J35" s="30" t="s">
        <v>2902</v>
      </c>
      <c r="K35" s="54">
        <v>14</v>
      </c>
      <c r="L35" s="31">
        <v>44</v>
      </c>
      <c r="M35" s="31">
        <v>49</v>
      </c>
      <c r="N35" s="30" t="s">
        <v>2903</v>
      </c>
      <c r="O35" s="25" t="s">
        <v>475</v>
      </c>
      <c r="P35" s="26" t="s">
        <v>277</v>
      </c>
      <c r="Q35" s="27" t="s">
        <v>163</v>
      </c>
      <c r="R35" s="28" t="s">
        <v>171</v>
      </c>
      <c r="S35" s="28"/>
      <c r="T35" s="28" t="s">
        <v>1115</v>
      </c>
      <c r="U35" s="45">
        <f t="shared" ref="U35:U40" si="1">IF(O35&lt;&gt;"",O35*3.28,"")</f>
        <v>639.59999999999991</v>
      </c>
    </row>
    <row r="36" spans="1:23" x14ac:dyDescent="0.25">
      <c r="A36" s="228" t="s">
        <v>1409</v>
      </c>
      <c r="B36" s="30" t="s">
        <v>128</v>
      </c>
      <c r="C36" s="29" t="s">
        <v>102</v>
      </c>
      <c r="D36" s="30" t="s">
        <v>933</v>
      </c>
      <c r="E36" s="29" t="s">
        <v>2519</v>
      </c>
      <c r="F36" s="29" t="s">
        <v>2520</v>
      </c>
      <c r="G36" s="31">
        <v>41</v>
      </c>
      <c r="H36" s="31">
        <v>6</v>
      </c>
      <c r="I36" s="31">
        <v>10</v>
      </c>
      <c r="J36" s="30" t="s">
        <v>2902</v>
      </c>
      <c r="K36" s="54">
        <v>14</v>
      </c>
      <c r="L36" s="31">
        <v>27</v>
      </c>
      <c r="M36" s="31">
        <v>18</v>
      </c>
      <c r="N36" s="30" t="s">
        <v>2903</v>
      </c>
      <c r="O36" s="25">
        <v>64</v>
      </c>
      <c r="P36" s="26" t="s">
        <v>330</v>
      </c>
      <c r="Q36" s="27" t="s">
        <v>245</v>
      </c>
      <c r="R36" s="28" t="s">
        <v>2482</v>
      </c>
      <c r="S36" s="28"/>
      <c r="T36" s="28" t="s">
        <v>2521</v>
      </c>
      <c r="U36" s="45">
        <f t="shared" si="1"/>
        <v>209.92</v>
      </c>
    </row>
    <row r="37" spans="1:23" x14ac:dyDescent="0.25">
      <c r="A37" s="228" t="s">
        <v>1451</v>
      </c>
      <c r="B37" s="30" t="s">
        <v>70</v>
      </c>
      <c r="C37" s="29" t="s">
        <v>102</v>
      </c>
      <c r="D37" s="30" t="s">
        <v>934</v>
      </c>
      <c r="E37" s="29" t="s">
        <v>2528</v>
      </c>
      <c r="F37" s="29" t="s">
        <v>2529</v>
      </c>
      <c r="G37" s="31">
        <v>41</v>
      </c>
      <c r="H37" s="31">
        <v>8</v>
      </c>
      <c r="I37" s="31">
        <v>24</v>
      </c>
      <c r="J37" s="30" t="s">
        <v>2902</v>
      </c>
      <c r="K37" s="54">
        <v>14</v>
      </c>
      <c r="L37" s="31">
        <v>22</v>
      </c>
      <c r="M37" s="31">
        <v>24</v>
      </c>
      <c r="N37" s="30" t="s">
        <v>2903</v>
      </c>
      <c r="O37" s="25" t="s">
        <v>312</v>
      </c>
      <c r="P37" s="26" t="s">
        <v>206</v>
      </c>
      <c r="Q37" s="27" t="s">
        <v>405</v>
      </c>
      <c r="R37" s="28"/>
      <c r="S37" s="28"/>
      <c r="T37" s="28" t="s">
        <v>2530</v>
      </c>
      <c r="U37" s="45">
        <f t="shared" si="1"/>
        <v>98.399999999999991</v>
      </c>
    </row>
    <row r="38" spans="1:23" x14ac:dyDescent="0.25">
      <c r="A38" s="228" t="s">
        <v>1452</v>
      </c>
      <c r="B38" s="30" t="s">
        <v>124</v>
      </c>
      <c r="C38" s="29" t="s">
        <v>102</v>
      </c>
      <c r="D38" s="30" t="s">
        <v>934</v>
      </c>
      <c r="E38" s="29" t="s">
        <v>2507</v>
      </c>
      <c r="F38" s="29" t="s">
        <v>2508</v>
      </c>
      <c r="G38" s="31">
        <v>41</v>
      </c>
      <c r="H38" s="31">
        <v>6</v>
      </c>
      <c r="I38" s="31">
        <v>55</v>
      </c>
      <c r="J38" s="30" t="s">
        <v>2902</v>
      </c>
      <c r="K38" s="54">
        <v>14</v>
      </c>
      <c r="L38" s="31">
        <v>10</v>
      </c>
      <c r="M38" s="31">
        <v>41</v>
      </c>
      <c r="N38" s="30" t="s">
        <v>2903</v>
      </c>
      <c r="O38" s="25">
        <v>2</v>
      </c>
      <c r="P38" s="26" t="s">
        <v>191</v>
      </c>
      <c r="Q38" s="27" t="s">
        <v>2509</v>
      </c>
      <c r="R38" s="28" t="s">
        <v>2541</v>
      </c>
      <c r="S38" s="28"/>
      <c r="T38" s="28" t="s">
        <v>2510</v>
      </c>
      <c r="U38" s="45">
        <f t="shared" si="1"/>
        <v>6.56</v>
      </c>
    </row>
    <row r="39" spans="1:23" x14ac:dyDescent="0.25">
      <c r="A39" s="228" t="s">
        <v>1453</v>
      </c>
      <c r="B39" s="30" t="s">
        <v>128</v>
      </c>
      <c r="C39" s="29" t="s">
        <v>102</v>
      </c>
      <c r="D39" s="30" t="s">
        <v>934</v>
      </c>
      <c r="E39" s="29" t="s">
        <v>2522</v>
      </c>
      <c r="F39" s="29" t="s">
        <v>2523</v>
      </c>
      <c r="G39" s="31">
        <v>41</v>
      </c>
      <c r="H39" s="31">
        <v>3</v>
      </c>
      <c r="I39" s="31">
        <v>56</v>
      </c>
      <c r="J39" s="30" t="s">
        <v>2902</v>
      </c>
      <c r="K39" s="54">
        <v>13</v>
      </c>
      <c r="L39" s="31">
        <v>57</v>
      </c>
      <c r="M39" s="31">
        <v>45</v>
      </c>
      <c r="N39" s="30" t="s">
        <v>2903</v>
      </c>
      <c r="O39" s="25">
        <v>5</v>
      </c>
      <c r="P39" s="26" t="s">
        <v>238</v>
      </c>
      <c r="Q39" s="27" t="s">
        <v>245</v>
      </c>
      <c r="R39" s="28" t="s">
        <v>171</v>
      </c>
      <c r="S39" s="28"/>
      <c r="T39" s="28" t="s">
        <v>2524</v>
      </c>
      <c r="U39" s="45">
        <f t="shared" si="1"/>
        <v>16.399999999999999</v>
      </c>
    </row>
    <row r="40" spans="1:23" x14ac:dyDescent="0.25">
      <c r="A40" s="228" t="s">
        <v>1454</v>
      </c>
      <c r="B40" s="30" t="s">
        <v>70</v>
      </c>
      <c r="C40" s="29" t="s">
        <v>102</v>
      </c>
      <c r="D40" s="30" t="s">
        <v>934</v>
      </c>
      <c r="E40" s="29" t="s">
        <v>2948</v>
      </c>
      <c r="F40" s="29" t="s">
        <v>2949</v>
      </c>
      <c r="G40" s="31">
        <v>41</v>
      </c>
      <c r="H40" s="31">
        <v>5</v>
      </c>
      <c r="I40" s="31">
        <v>0</v>
      </c>
      <c r="J40" s="30" t="s">
        <v>2902</v>
      </c>
      <c r="K40" s="54">
        <v>13</v>
      </c>
      <c r="L40" s="31">
        <v>58</v>
      </c>
      <c r="M40" s="31">
        <v>0</v>
      </c>
      <c r="N40" s="30" t="s">
        <v>2903</v>
      </c>
      <c r="O40" s="25" t="s">
        <v>403</v>
      </c>
      <c r="P40" s="26" t="s">
        <v>238</v>
      </c>
      <c r="Q40" s="27" t="s">
        <v>404</v>
      </c>
      <c r="R40" s="28"/>
      <c r="S40" s="28"/>
      <c r="T40" s="28" t="s">
        <v>1118</v>
      </c>
      <c r="U40" s="45">
        <f t="shared" si="1"/>
        <v>0</v>
      </c>
    </row>
    <row r="41" spans="1:23" x14ac:dyDescent="0.25">
      <c r="A41" s="229" t="s">
        <v>1455</v>
      </c>
      <c r="B41" s="248" t="s">
        <v>124</v>
      </c>
      <c r="C41" s="249" t="s">
        <v>102</v>
      </c>
      <c r="D41" s="248" t="s">
        <v>934</v>
      </c>
      <c r="E41" s="249" t="s">
        <v>1344</v>
      </c>
      <c r="F41" s="249" t="s">
        <v>1345</v>
      </c>
      <c r="G41" s="250">
        <v>41</v>
      </c>
      <c r="H41" s="250">
        <v>4</v>
      </c>
      <c r="I41" s="250">
        <v>0</v>
      </c>
      <c r="J41" s="251" t="s">
        <v>2902</v>
      </c>
      <c r="K41" s="252">
        <v>14</v>
      </c>
      <c r="L41" s="250">
        <v>5</v>
      </c>
      <c r="M41" s="250">
        <v>0</v>
      </c>
      <c r="N41" s="248" t="s">
        <v>2903</v>
      </c>
      <c r="O41" s="253"/>
      <c r="P41" s="260"/>
      <c r="Q41" s="261" t="s">
        <v>2498</v>
      </c>
      <c r="R41" s="262"/>
      <c r="S41" s="263"/>
      <c r="T41" s="263"/>
      <c r="U41" s="264"/>
      <c r="V41" s="259"/>
      <c r="W41" s="259"/>
    </row>
    <row r="42" spans="1:23" x14ac:dyDescent="0.25">
      <c r="A42" s="228" t="s">
        <v>1456</v>
      </c>
      <c r="B42" s="50" t="s">
        <v>70</v>
      </c>
      <c r="C42" s="29" t="s">
        <v>102</v>
      </c>
      <c r="D42" s="50" t="s">
        <v>934</v>
      </c>
      <c r="E42" s="34" t="s">
        <v>2950</v>
      </c>
      <c r="F42" s="34" t="s">
        <v>2951</v>
      </c>
      <c r="G42" s="35">
        <v>41</v>
      </c>
      <c r="H42" s="35">
        <v>17</v>
      </c>
      <c r="I42" s="35">
        <v>6</v>
      </c>
      <c r="J42" s="143" t="s">
        <v>2902</v>
      </c>
      <c r="K42" s="55">
        <v>14</v>
      </c>
      <c r="L42" s="35">
        <v>9</v>
      </c>
      <c r="M42" s="35">
        <v>17</v>
      </c>
      <c r="N42" s="143" t="s">
        <v>2903</v>
      </c>
      <c r="O42" s="36">
        <v>100</v>
      </c>
      <c r="P42" s="26" t="s">
        <v>279</v>
      </c>
      <c r="Q42" s="27" t="s">
        <v>405</v>
      </c>
      <c r="R42" s="28"/>
      <c r="S42" s="28"/>
      <c r="T42" s="28" t="s">
        <v>2537</v>
      </c>
      <c r="U42" s="45">
        <f t="shared" ref="U42:U48" si="2">IF(O42&lt;&gt;"",O42*3.28,"")</f>
        <v>328</v>
      </c>
    </row>
    <row r="43" spans="1:23" x14ac:dyDescent="0.25">
      <c r="A43" s="228" t="s">
        <v>1457</v>
      </c>
      <c r="B43" s="30" t="s">
        <v>128</v>
      </c>
      <c r="C43" s="29" t="s">
        <v>102</v>
      </c>
      <c r="D43" s="30" t="s">
        <v>934</v>
      </c>
      <c r="E43" s="29" t="s">
        <v>2952</v>
      </c>
      <c r="F43" s="29" t="s">
        <v>1080</v>
      </c>
      <c r="G43" s="31">
        <v>41</v>
      </c>
      <c r="H43" s="31">
        <v>9</v>
      </c>
      <c r="I43" s="31">
        <v>20</v>
      </c>
      <c r="J43" s="30" t="s">
        <v>2902</v>
      </c>
      <c r="K43" s="54">
        <v>14</v>
      </c>
      <c r="L43" s="31">
        <v>12</v>
      </c>
      <c r="M43" s="31">
        <v>59</v>
      </c>
      <c r="N43" s="30" t="s">
        <v>2903</v>
      </c>
      <c r="O43" s="25" t="s">
        <v>312</v>
      </c>
      <c r="P43" s="26" t="s">
        <v>238</v>
      </c>
      <c r="Q43" s="27" t="s">
        <v>293</v>
      </c>
      <c r="R43" s="28" t="s">
        <v>2540</v>
      </c>
      <c r="S43" s="28"/>
      <c r="T43" s="28" t="s">
        <v>1116</v>
      </c>
      <c r="U43" s="45">
        <f t="shared" si="2"/>
        <v>98.399999999999991</v>
      </c>
    </row>
    <row r="44" spans="1:23" x14ac:dyDescent="0.25">
      <c r="A44" s="228" t="s">
        <v>1621</v>
      </c>
      <c r="B44" s="30" t="s">
        <v>124</v>
      </c>
      <c r="C44" s="29" t="s">
        <v>102</v>
      </c>
      <c r="D44" s="30" t="s">
        <v>935</v>
      </c>
      <c r="E44" s="29" t="s">
        <v>2511</v>
      </c>
      <c r="F44" s="29" t="s">
        <v>2512</v>
      </c>
      <c r="G44" s="31">
        <v>40</v>
      </c>
      <c r="H44" s="31">
        <v>53</v>
      </c>
      <c r="I44" s="31">
        <v>0</v>
      </c>
      <c r="J44" s="30" t="s">
        <v>2902</v>
      </c>
      <c r="K44" s="54">
        <v>14</v>
      </c>
      <c r="L44" s="31">
        <v>17</v>
      </c>
      <c r="M44" s="31">
        <v>20</v>
      </c>
      <c r="N44" s="30" t="s">
        <v>2903</v>
      </c>
      <c r="O44" s="25">
        <v>91</v>
      </c>
      <c r="P44" s="26" t="s">
        <v>238</v>
      </c>
      <c r="Q44" s="27" t="s">
        <v>2513</v>
      </c>
      <c r="R44" s="28" t="s">
        <v>2575</v>
      </c>
      <c r="S44" s="28"/>
      <c r="T44" s="28" t="s">
        <v>2514</v>
      </c>
      <c r="U44" s="45">
        <f t="shared" si="2"/>
        <v>298.47999999999996</v>
      </c>
    </row>
    <row r="45" spans="1:23" x14ac:dyDescent="0.25">
      <c r="A45" s="228" t="s">
        <v>1764</v>
      </c>
      <c r="B45" s="30" t="s">
        <v>128</v>
      </c>
      <c r="C45" s="29" t="s">
        <v>102</v>
      </c>
      <c r="D45" s="30" t="s">
        <v>936</v>
      </c>
      <c r="E45" s="29" t="s">
        <v>6</v>
      </c>
      <c r="F45" s="29" t="s">
        <v>2525</v>
      </c>
      <c r="G45" s="31">
        <v>40</v>
      </c>
      <c r="H45" s="31">
        <v>32</v>
      </c>
      <c r="I45" s="31">
        <v>24</v>
      </c>
      <c r="J45" s="30" t="s">
        <v>2902</v>
      </c>
      <c r="K45" s="54">
        <v>15</v>
      </c>
      <c r="L45" s="31">
        <v>6</v>
      </c>
      <c r="M45" s="31">
        <v>0</v>
      </c>
      <c r="N45" s="30" t="s">
        <v>2903</v>
      </c>
      <c r="O45" s="25">
        <v>32</v>
      </c>
      <c r="P45" s="26" t="s">
        <v>251</v>
      </c>
      <c r="Q45" s="27" t="s">
        <v>2526</v>
      </c>
      <c r="R45" s="28" t="s">
        <v>171</v>
      </c>
      <c r="S45" s="28"/>
      <c r="T45" s="28" t="s">
        <v>2527</v>
      </c>
      <c r="U45" s="45">
        <f t="shared" si="2"/>
        <v>104.96</v>
      </c>
    </row>
    <row r="46" spans="1:23" x14ac:dyDescent="0.25">
      <c r="A46" s="228" t="s">
        <v>1765</v>
      </c>
      <c r="B46" s="30" t="s">
        <v>70</v>
      </c>
      <c r="C46" s="29" t="s">
        <v>102</v>
      </c>
      <c r="D46" s="30" t="s">
        <v>936</v>
      </c>
      <c r="E46" s="29" t="s">
        <v>1081</v>
      </c>
      <c r="F46" s="29" t="s">
        <v>7</v>
      </c>
      <c r="G46" s="31">
        <v>40</v>
      </c>
      <c r="H46" s="31">
        <v>27</v>
      </c>
      <c r="I46" s="31">
        <v>9</v>
      </c>
      <c r="J46" s="30" t="s">
        <v>2902</v>
      </c>
      <c r="K46" s="54">
        <v>15</v>
      </c>
      <c r="L46" s="31">
        <v>0</v>
      </c>
      <c r="M46" s="31">
        <v>5</v>
      </c>
      <c r="N46" s="30" t="s">
        <v>2903</v>
      </c>
      <c r="O46" s="25" t="s">
        <v>285</v>
      </c>
      <c r="P46" s="26" t="s">
        <v>279</v>
      </c>
      <c r="Q46" s="27" t="s">
        <v>207</v>
      </c>
      <c r="R46" s="28"/>
      <c r="S46" s="28"/>
      <c r="T46" s="28" t="s">
        <v>1119</v>
      </c>
      <c r="U46" s="45">
        <f t="shared" si="2"/>
        <v>16.399999999999999</v>
      </c>
    </row>
    <row r="47" spans="1:23" x14ac:dyDescent="0.25">
      <c r="A47" s="228" t="s">
        <v>1766</v>
      </c>
      <c r="B47" s="30" t="s">
        <v>70</v>
      </c>
      <c r="C47" s="29" t="s">
        <v>102</v>
      </c>
      <c r="D47" s="30" t="s">
        <v>936</v>
      </c>
      <c r="E47" s="29" t="s">
        <v>8</v>
      </c>
      <c r="F47" s="29" t="s">
        <v>2538</v>
      </c>
      <c r="G47" s="31">
        <v>40</v>
      </c>
      <c r="H47" s="31">
        <v>37</v>
      </c>
      <c r="I47" s="31">
        <v>17</v>
      </c>
      <c r="J47" s="30" t="s">
        <v>2902</v>
      </c>
      <c r="K47" s="54">
        <v>14</v>
      </c>
      <c r="L47" s="31">
        <v>54</v>
      </c>
      <c r="M47" s="31">
        <v>51</v>
      </c>
      <c r="N47" s="30" t="s">
        <v>2903</v>
      </c>
      <c r="O47" s="25" t="s">
        <v>311</v>
      </c>
      <c r="P47" s="26" t="s">
        <v>279</v>
      </c>
      <c r="Q47" s="27" t="s">
        <v>401</v>
      </c>
      <c r="R47" s="28"/>
      <c r="S47" s="28"/>
      <c r="T47" s="28" t="s">
        <v>402</v>
      </c>
      <c r="U47" s="45">
        <f t="shared" si="2"/>
        <v>164</v>
      </c>
    </row>
    <row r="48" spans="1:23" x14ac:dyDescent="0.25">
      <c r="A48" s="228" t="s">
        <v>1767</v>
      </c>
      <c r="B48" s="30" t="s">
        <v>124</v>
      </c>
      <c r="C48" s="29" t="s">
        <v>102</v>
      </c>
      <c r="D48" s="30" t="s">
        <v>936</v>
      </c>
      <c r="E48" s="29" t="s">
        <v>2515</v>
      </c>
      <c r="F48" s="29" t="s">
        <v>2516</v>
      </c>
      <c r="G48" s="31">
        <v>40</v>
      </c>
      <c r="H48" s="31">
        <v>37</v>
      </c>
      <c r="I48" s="31">
        <v>17</v>
      </c>
      <c r="J48" s="30" t="s">
        <v>2902</v>
      </c>
      <c r="K48" s="54">
        <v>14</v>
      </c>
      <c r="L48" s="31">
        <v>54</v>
      </c>
      <c r="M48" s="31">
        <v>51</v>
      </c>
      <c r="N48" s="30" t="s">
        <v>2903</v>
      </c>
      <c r="O48" s="25">
        <v>40</v>
      </c>
      <c r="P48" s="26" t="s">
        <v>279</v>
      </c>
      <c r="Q48" s="27" t="s">
        <v>2517</v>
      </c>
      <c r="R48" s="28" t="s">
        <v>1979</v>
      </c>
      <c r="S48" s="28"/>
      <c r="T48" s="28" t="s">
        <v>2518</v>
      </c>
      <c r="U48" s="45">
        <f t="shared" si="2"/>
        <v>131.19999999999999</v>
      </c>
    </row>
    <row r="49" spans="1:23" x14ac:dyDescent="0.25">
      <c r="A49" s="228" t="s">
        <v>1768</v>
      </c>
      <c r="B49" s="248" t="s">
        <v>70</v>
      </c>
      <c r="C49" s="249" t="s">
        <v>102</v>
      </c>
      <c r="D49" s="248" t="s">
        <v>936</v>
      </c>
      <c r="E49" s="249" t="s">
        <v>2515</v>
      </c>
      <c r="F49" s="249" t="s">
        <v>1294</v>
      </c>
      <c r="G49" s="250">
        <v>40</v>
      </c>
      <c r="H49" s="250">
        <v>27</v>
      </c>
      <c r="I49" s="250">
        <v>5</v>
      </c>
      <c r="J49" s="251" t="s">
        <v>2902</v>
      </c>
      <c r="K49" s="252">
        <v>15</v>
      </c>
      <c r="L49" s="250">
        <v>0</v>
      </c>
      <c r="M49" s="250">
        <v>5</v>
      </c>
      <c r="N49" s="248" t="s">
        <v>2903</v>
      </c>
      <c r="O49" s="253"/>
      <c r="P49" s="260" t="s">
        <v>279</v>
      </c>
      <c r="Q49" s="261" t="s">
        <v>2119</v>
      </c>
      <c r="R49" s="262"/>
      <c r="S49" s="263"/>
      <c r="T49" s="263"/>
      <c r="U49" s="264"/>
      <c r="V49" s="259"/>
      <c r="W49" s="259"/>
    </row>
    <row r="50" spans="1:23" x14ac:dyDescent="0.25">
      <c r="A50" s="228" t="s">
        <v>1769</v>
      </c>
      <c r="B50" s="30" t="s">
        <v>128</v>
      </c>
      <c r="C50" s="29" t="s">
        <v>102</v>
      </c>
      <c r="D50" s="30" t="s">
        <v>936</v>
      </c>
      <c r="E50" s="29" t="s">
        <v>2539</v>
      </c>
      <c r="F50" s="29" t="s">
        <v>454</v>
      </c>
      <c r="G50" s="31">
        <v>40</v>
      </c>
      <c r="H50" s="31">
        <v>24</v>
      </c>
      <c r="I50" s="31">
        <v>75</v>
      </c>
      <c r="J50" s="30" t="s">
        <v>2902</v>
      </c>
      <c r="K50" s="54">
        <v>15</v>
      </c>
      <c r="L50" s="31">
        <v>32</v>
      </c>
      <c r="M50" s="31">
        <v>9</v>
      </c>
      <c r="N50" s="30" t="s">
        <v>2903</v>
      </c>
      <c r="O50" s="25" t="s">
        <v>455</v>
      </c>
      <c r="P50" s="26" t="s">
        <v>456</v>
      </c>
      <c r="Q50" s="27" t="s">
        <v>457</v>
      </c>
      <c r="R50" s="28" t="s">
        <v>171</v>
      </c>
      <c r="S50" s="28"/>
      <c r="T50" s="28" t="s">
        <v>1117</v>
      </c>
      <c r="U50" s="45">
        <f t="shared" ref="U50:U74" si="3">IF(O50&lt;&gt;"",O50*3.28,"")</f>
        <v>1469.4399999999998</v>
      </c>
    </row>
    <row r="51" spans="1:23" x14ac:dyDescent="0.25">
      <c r="A51" s="228" t="s">
        <v>1410</v>
      </c>
      <c r="B51" s="30" t="s">
        <v>70</v>
      </c>
      <c r="C51" s="29" t="s">
        <v>1036</v>
      </c>
      <c r="D51" s="30" t="s">
        <v>937</v>
      </c>
      <c r="E51" s="29" t="s">
        <v>2933</v>
      </c>
      <c r="F51" s="29" t="s">
        <v>2934</v>
      </c>
      <c r="G51" s="31">
        <v>44</v>
      </c>
      <c r="H51" s="31">
        <v>36</v>
      </c>
      <c r="I51" s="31">
        <v>58</v>
      </c>
      <c r="J51" s="30" t="s">
        <v>2902</v>
      </c>
      <c r="K51" s="54">
        <v>11</v>
      </c>
      <c r="L51" s="31">
        <v>19</v>
      </c>
      <c r="M51" s="31">
        <v>36</v>
      </c>
      <c r="N51" s="30" t="s">
        <v>2903</v>
      </c>
      <c r="O51" s="25" t="s">
        <v>316</v>
      </c>
      <c r="P51" s="26" t="s">
        <v>277</v>
      </c>
      <c r="Q51" s="27" t="s">
        <v>317</v>
      </c>
      <c r="R51" s="28" t="s">
        <v>318</v>
      </c>
      <c r="S51" s="28"/>
      <c r="T51" s="28" t="s">
        <v>319</v>
      </c>
      <c r="U51" s="45">
        <f t="shared" si="3"/>
        <v>124.63999999999999</v>
      </c>
    </row>
    <row r="52" spans="1:23" x14ac:dyDescent="0.25">
      <c r="A52" s="228" t="s">
        <v>1411</v>
      </c>
      <c r="B52" s="30" t="s">
        <v>70</v>
      </c>
      <c r="C52" s="29" t="s">
        <v>1036</v>
      </c>
      <c r="D52" s="30" t="s">
        <v>937</v>
      </c>
      <c r="E52" s="29" t="s">
        <v>2095</v>
      </c>
      <c r="F52" s="29" t="s">
        <v>2096</v>
      </c>
      <c r="G52" s="31">
        <v>44</v>
      </c>
      <c r="H52" s="31">
        <v>30</v>
      </c>
      <c r="I52" s="31">
        <v>33</v>
      </c>
      <c r="J52" s="30" t="s">
        <v>2902</v>
      </c>
      <c r="K52" s="54">
        <v>11</v>
      </c>
      <c r="L52" s="31">
        <v>5</v>
      </c>
      <c r="M52" s="31">
        <v>36</v>
      </c>
      <c r="N52" s="30" t="s">
        <v>2903</v>
      </c>
      <c r="O52" s="25">
        <v>65</v>
      </c>
      <c r="P52" s="26" t="s">
        <v>330</v>
      </c>
      <c r="Q52" s="27" t="s">
        <v>245</v>
      </c>
      <c r="R52" s="28"/>
      <c r="S52" s="28"/>
      <c r="T52" s="28" t="s">
        <v>2097</v>
      </c>
      <c r="U52" s="45">
        <f t="shared" si="3"/>
        <v>213.2</v>
      </c>
    </row>
    <row r="53" spans="1:23" x14ac:dyDescent="0.25">
      <c r="A53" s="228" t="s">
        <v>1412</v>
      </c>
      <c r="B53" s="30" t="s">
        <v>124</v>
      </c>
      <c r="C53" s="29" t="s">
        <v>1036</v>
      </c>
      <c r="D53" s="30" t="s">
        <v>937</v>
      </c>
      <c r="E53" s="29" t="s">
        <v>2056</v>
      </c>
      <c r="F53" s="29" t="s">
        <v>2057</v>
      </c>
      <c r="G53" s="31">
        <v>44</v>
      </c>
      <c r="H53" s="31">
        <v>31</v>
      </c>
      <c r="I53" s="31">
        <v>50</v>
      </c>
      <c r="J53" s="30" t="s">
        <v>2902</v>
      </c>
      <c r="K53" s="54">
        <v>11</v>
      </c>
      <c r="L53" s="31">
        <v>17</v>
      </c>
      <c r="M53" s="31">
        <v>33</v>
      </c>
      <c r="N53" s="30" t="s">
        <v>2903</v>
      </c>
      <c r="O53" s="25">
        <v>125</v>
      </c>
      <c r="P53" s="26" t="s">
        <v>342</v>
      </c>
      <c r="Q53" s="27" t="s">
        <v>2628</v>
      </c>
      <c r="R53" s="28"/>
      <c r="S53" s="28"/>
      <c r="T53" s="28" t="s">
        <v>2058</v>
      </c>
      <c r="U53" s="45">
        <f t="shared" si="3"/>
        <v>410</v>
      </c>
    </row>
    <row r="54" spans="1:23" x14ac:dyDescent="0.25">
      <c r="A54" s="228" t="s">
        <v>1413</v>
      </c>
      <c r="B54" s="30" t="s">
        <v>70</v>
      </c>
      <c r="C54" s="29" t="s">
        <v>1036</v>
      </c>
      <c r="D54" s="30" t="s">
        <v>937</v>
      </c>
      <c r="E54" s="29" t="s">
        <v>2117</v>
      </c>
      <c r="F54" s="29" t="s">
        <v>2121</v>
      </c>
      <c r="G54" s="31">
        <v>44</v>
      </c>
      <c r="H54" s="31">
        <v>34</v>
      </c>
      <c r="I54" s="31">
        <v>13</v>
      </c>
      <c r="J54" s="30" t="s">
        <v>2902</v>
      </c>
      <c r="K54" s="54">
        <v>11</v>
      </c>
      <c r="L54" s="31">
        <v>27</v>
      </c>
      <c r="M54" s="31">
        <v>12</v>
      </c>
      <c r="N54" s="30" t="s">
        <v>2903</v>
      </c>
      <c r="O54" s="25">
        <v>35</v>
      </c>
      <c r="P54" s="26" t="s">
        <v>342</v>
      </c>
      <c r="Q54" s="27" t="s">
        <v>2122</v>
      </c>
      <c r="R54" s="28"/>
      <c r="S54" s="28"/>
      <c r="T54" s="28" t="s">
        <v>2123</v>
      </c>
      <c r="U54" s="45">
        <f t="shared" si="3"/>
        <v>114.8</v>
      </c>
    </row>
    <row r="55" spans="1:23" x14ac:dyDescent="0.25">
      <c r="A55" s="228" t="s">
        <v>1414</v>
      </c>
      <c r="B55" s="30" t="s">
        <v>70</v>
      </c>
      <c r="C55" s="29" t="s">
        <v>1036</v>
      </c>
      <c r="D55" s="30" t="s">
        <v>937</v>
      </c>
      <c r="E55" s="29" t="s">
        <v>2124</v>
      </c>
      <c r="F55" s="29" t="s">
        <v>2125</v>
      </c>
      <c r="G55" s="31">
        <v>44</v>
      </c>
      <c r="H55" s="31">
        <v>20</v>
      </c>
      <c r="I55" s="31">
        <v>0</v>
      </c>
      <c r="J55" s="30" t="s">
        <v>2902</v>
      </c>
      <c r="K55" s="54">
        <v>11</v>
      </c>
      <c r="L55" s="31">
        <v>39</v>
      </c>
      <c r="M55" s="31">
        <v>50</v>
      </c>
      <c r="N55" s="30" t="s">
        <v>2903</v>
      </c>
      <c r="O55" s="25">
        <v>78</v>
      </c>
      <c r="P55" s="26" t="s">
        <v>194</v>
      </c>
      <c r="Q55" s="27" t="s">
        <v>512</v>
      </c>
      <c r="R55" s="28"/>
      <c r="S55" s="28"/>
      <c r="T55" s="28" t="s">
        <v>2126</v>
      </c>
      <c r="U55" s="45">
        <f t="shared" si="3"/>
        <v>255.83999999999997</v>
      </c>
    </row>
    <row r="56" spans="1:23" x14ac:dyDescent="0.25">
      <c r="A56" s="228" t="s">
        <v>1415</v>
      </c>
      <c r="B56" s="30" t="s">
        <v>70</v>
      </c>
      <c r="C56" s="29" t="s">
        <v>1036</v>
      </c>
      <c r="D56" s="30" t="s">
        <v>937</v>
      </c>
      <c r="E56" s="29" t="s">
        <v>2124</v>
      </c>
      <c r="F56" s="29" t="s">
        <v>2127</v>
      </c>
      <c r="G56" s="31">
        <v>44</v>
      </c>
      <c r="H56" s="31">
        <v>26</v>
      </c>
      <c r="I56" s="31">
        <v>8</v>
      </c>
      <c r="J56" s="30" t="s">
        <v>2902</v>
      </c>
      <c r="K56" s="54">
        <v>11</v>
      </c>
      <c r="L56" s="31">
        <v>43</v>
      </c>
      <c r="M56" s="31">
        <v>53</v>
      </c>
      <c r="N56" s="30" t="s">
        <v>2903</v>
      </c>
      <c r="O56" s="25">
        <v>78</v>
      </c>
      <c r="P56" s="26" t="s">
        <v>187</v>
      </c>
      <c r="Q56" s="27" t="s">
        <v>2128</v>
      </c>
      <c r="R56" s="28"/>
      <c r="S56" s="28"/>
      <c r="T56" s="28" t="s">
        <v>2129</v>
      </c>
      <c r="U56" s="45">
        <f t="shared" si="3"/>
        <v>255.83999999999997</v>
      </c>
    </row>
    <row r="57" spans="1:23" x14ac:dyDescent="0.25">
      <c r="A57" s="228" t="s">
        <v>1416</v>
      </c>
      <c r="B57" s="30" t="s">
        <v>128</v>
      </c>
      <c r="C57" s="29" t="s">
        <v>1036</v>
      </c>
      <c r="D57" s="30" t="s">
        <v>937</v>
      </c>
      <c r="E57" s="29" t="s">
        <v>2935</v>
      </c>
      <c r="F57" s="29" t="s">
        <v>2175</v>
      </c>
      <c r="G57" s="31">
        <v>44</v>
      </c>
      <c r="H57" s="31">
        <v>30</v>
      </c>
      <c r="I57" s="31">
        <v>49</v>
      </c>
      <c r="J57" s="30" t="s">
        <v>2902</v>
      </c>
      <c r="K57" s="54">
        <v>11</v>
      </c>
      <c r="L57" s="31">
        <v>35</v>
      </c>
      <c r="M57" s="31">
        <v>24</v>
      </c>
      <c r="N57" s="30" t="s">
        <v>2903</v>
      </c>
      <c r="O57" s="25" t="s">
        <v>312</v>
      </c>
      <c r="P57" s="26" t="s">
        <v>194</v>
      </c>
      <c r="Q57" s="27" t="s">
        <v>315</v>
      </c>
      <c r="R57" s="28" t="s">
        <v>171</v>
      </c>
      <c r="S57" s="28"/>
      <c r="T57" s="28" t="s">
        <v>1963</v>
      </c>
      <c r="U57" s="45">
        <f t="shared" si="3"/>
        <v>98.399999999999991</v>
      </c>
    </row>
    <row r="58" spans="1:23" x14ac:dyDescent="0.25">
      <c r="A58" s="228" t="s">
        <v>1417</v>
      </c>
      <c r="B58" s="30" t="s">
        <v>128</v>
      </c>
      <c r="C58" s="29" t="s">
        <v>1036</v>
      </c>
      <c r="D58" s="30" t="s">
        <v>937</v>
      </c>
      <c r="E58" s="29" t="s">
        <v>2936</v>
      </c>
      <c r="F58" s="29" t="s">
        <v>2936</v>
      </c>
      <c r="G58" s="31">
        <v>44</v>
      </c>
      <c r="H58" s="31">
        <v>35</v>
      </c>
      <c r="I58" s="31">
        <v>34</v>
      </c>
      <c r="J58" s="30" t="s">
        <v>2902</v>
      </c>
      <c r="K58" s="54">
        <v>11</v>
      </c>
      <c r="L58" s="31">
        <v>39</v>
      </c>
      <c r="M58" s="31">
        <v>20</v>
      </c>
      <c r="N58" s="30" t="s">
        <v>2903</v>
      </c>
      <c r="O58" s="25" t="s">
        <v>295</v>
      </c>
      <c r="P58" s="26" t="s">
        <v>225</v>
      </c>
      <c r="Q58" s="27" t="s">
        <v>296</v>
      </c>
      <c r="R58" s="28" t="s">
        <v>2552</v>
      </c>
      <c r="S58" s="28"/>
      <c r="T58" s="28" t="s">
        <v>2629</v>
      </c>
      <c r="U58" s="45">
        <f t="shared" si="3"/>
        <v>22.959999999999997</v>
      </c>
    </row>
    <row r="59" spans="1:23" x14ac:dyDescent="0.25">
      <c r="A59" s="228" t="s">
        <v>1418</v>
      </c>
      <c r="B59" s="30" t="s">
        <v>128</v>
      </c>
      <c r="C59" s="29" t="s">
        <v>1036</v>
      </c>
      <c r="D59" s="30" t="s">
        <v>937</v>
      </c>
      <c r="E59" s="29" t="s">
        <v>2937</v>
      </c>
      <c r="F59" s="29" t="s">
        <v>183</v>
      </c>
      <c r="G59" s="31">
        <v>44</v>
      </c>
      <c r="H59" s="31">
        <v>28</v>
      </c>
      <c r="I59" s="31">
        <v>30</v>
      </c>
      <c r="J59" s="30" t="s">
        <v>2902</v>
      </c>
      <c r="K59" s="54">
        <v>11</v>
      </c>
      <c r="L59" s="31">
        <v>32</v>
      </c>
      <c r="M59" s="31">
        <v>30</v>
      </c>
      <c r="N59" s="30" t="s">
        <v>2903</v>
      </c>
      <c r="O59" s="25" t="s">
        <v>312</v>
      </c>
      <c r="P59" s="26" t="s">
        <v>225</v>
      </c>
      <c r="Q59" s="27" t="s">
        <v>313</v>
      </c>
      <c r="R59" s="28" t="s">
        <v>2562</v>
      </c>
      <c r="S59" s="28"/>
      <c r="T59" s="28" t="s">
        <v>314</v>
      </c>
      <c r="U59" s="45">
        <f t="shared" si="3"/>
        <v>98.399999999999991</v>
      </c>
    </row>
    <row r="60" spans="1:23" x14ac:dyDescent="0.25">
      <c r="A60" s="228" t="s">
        <v>1303</v>
      </c>
      <c r="B60" s="30" t="s">
        <v>70</v>
      </c>
      <c r="C60" s="29" t="s">
        <v>1036</v>
      </c>
      <c r="D60" s="30" t="s">
        <v>937</v>
      </c>
      <c r="E60" s="29" t="s">
        <v>2130</v>
      </c>
      <c r="F60" s="29" t="s">
        <v>2131</v>
      </c>
      <c r="G60" s="31">
        <v>44</v>
      </c>
      <c r="H60" s="31">
        <v>27</v>
      </c>
      <c r="I60" s="31">
        <v>42</v>
      </c>
      <c r="J60" s="30" t="s">
        <v>2902</v>
      </c>
      <c r="K60" s="54">
        <v>11</v>
      </c>
      <c r="L60" s="31">
        <v>47</v>
      </c>
      <c r="M60" s="31">
        <v>24</v>
      </c>
      <c r="N60" s="30" t="s">
        <v>2903</v>
      </c>
      <c r="O60" s="25">
        <v>4</v>
      </c>
      <c r="P60" s="26" t="s">
        <v>247</v>
      </c>
      <c r="Q60" s="27" t="s">
        <v>2132</v>
      </c>
      <c r="R60" s="28"/>
      <c r="S60" s="28"/>
      <c r="T60" s="28" t="s">
        <v>2133</v>
      </c>
      <c r="U60" s="45">
        <f t="shared" si="3"/>
        <v>13.12</v>
      </c>
    </row>
    <row r="61" spans="1:23" x14ac:dyDescent="0.25">
      <c r="A61" s="228" t="s">
        <v>1497</v>
      </c>
      <c r="B61" s="30" t="s">
        <v>70</v>
      </c>
      <c r="C61" s="29" t="s">
        <v>1036</v>
      </c>
      <c r="D61" s="30" t="s">
        <v>938</v>
      </c>
      <c r="E61" s="29" t="s">
        <v>1343</v>
      </c>
      <c r="F61" s="29" t="s">
        <v>2155</v>
      </c>
      <c r="G61" s="31">
        <v>44</v>
      </c>
      <c r="H61" s="31">
        <v>34</v>
      </c>
      <c r="I61" s="31">
        <v>56</v>
      </c>
      <c r="J61" s="30" t="s">
        <v>2902</v>
      </c>
      <c r="K61" s="54">
        <v>11</v>
      </c>
      <c r="L61" s="31">
        <v>55</v>
      </c>
      <c r="M61" s="31">
        <v>23</v>
      </c>
      <c r="N61" s="30" t="s">
        <v>2903</v>
      </c>
      <c r="O61" s="25">
        <v>6</v>
      </c>
      <c r="P61" s="26" t="s">
        <v>251</v>
      </c>
      <c r="Q61" s="27" t="s">
        <v>453</v>
      </c>
      <c r="R61" s="28"/>
      <c r="S61" s="28"/>
      <c r="T61" s="28" t="s">
        <v>2156</v>
      </c>
      <c r="U61" s="45">
        <f t="shared" si="3"/>
        <v>19.68</v>
      </c>
    </row>
    <row r="62" spans="1:23" s="247" customFormat="1" x14ac:dyDescent="0.25">
      <c r="A62" s="228" t="s">
        <v>1498</v>
      </c>
      <c r="B62" s="30" t="s">
        <v>70</v>
      </c>
      <c r="C62" s="29" t="s">
        <v>1036</v>
      </c>
      <c r="D62" s="30" t="s">
        <v>938</v>
      </c>
      <c r="E62" s="29" t="s">
        <v>2973</v>
      </c>
      <c r="F62" s="29" t="s">
        <v>1997</v>
      </c>
      <c r="G62" s="31">
        <v>44</v>
      </c>
      <c r="H62" s="31">
        <v>48</v>
      </c>
      <c r="I62" s="31">
        <v>38</v>
      </c>
      <c r="J62" s="30" t="s">
        <v>2902</v>
      </c>
      <c r="K62" s="54">
        <v>11</v>
      </c>
      <c r="L62" s="31">
        <v>19</v>
      </c>
      <c r="M62" s="31">
        <v>20</v>
      </c>
      <c r="N62" s="30" t="s">
        <v>2903</v>
      </c>
      <c r="O62" s="25" t="s">
        <v>228</v>
      </c>
      <c r="P62" s="26" t="s">
        <v>342</v>
      </c>
      <c r="Q62" s="27" t="s">
        <v>268</v>
      </c>
      <c r="R62" s="28"/>
      <c r="S62" s="28"/>
      <c r="T62" s="28" t="s">
        <v>2134</v>
      </c>
      <c r="U62" s="45">
        <f t="shared" si="3"/>
        <v>65.599999999999994</v>
      </c>
      <c r="V62" s="8"/>
      <c r="W62" s="8"/>
    </row>
    <row r="63" spans="1:23" x14ac:dyDescent="0.25">
      <c r="A63" s="228" t="s">
        <v>1499</v>
      </c>
      <c r="B63" s="30" t="s">
        <v>70</v>
      </c>
      <c r="C63" s="29" t="s">
        <v>1036</v>
      </c>
      <c r="D63" s="30" t="s">
        <v>938</v>
      </c>
      <c r="E63" s="29" t="s">
        <v>2135</v>
      </c>
      <c r="F63" s="29" t="s">
        <v>2136</v>
      </c>
      <c r="G63" s="31">
        <v>44</v>
      </c>
      <c r="H63" s="31">
        <v>48</v>
      </c>
      <c r="I63" s="31">
        <v>23</v>
      </c>
      <c r="J63" s="30" t="s">
        <v>2902</v>
      </c>
      <c r="K63" s="54">
        <v>12</v>
      </c>
      <c r="L63" s="31">
        <v>6</v>
      </c>
      <c r="M63" s="31">
        <v>24</v>
      </c>
      <c r="N63" s="30" t="s">
        <v>2903</v>
      </c>
      <c r="O63" s="25">
        <v>3</v>
      </c>
      <c r="P63" s="26" t="s">
        <v>206</v>
      </c>
      <c r="Q63" s="27" t="s">
        <v>259</v>
      </c>
      <c r="R63" s="28"/>
      <c r="S63" s="28"/>
      <c r="T63" s="28" t="s">
        <v>2137</v>
      </c>
      <c r="U63" s="45">
        <f t="shared" si="3"/>
        <v>9.84</v>
      </c>
    </row>
    <row r="64" spans="1:23" x14ac:dyDescent="0.25">
      <c r="A64" s="228" t="s">
        <v>1500</v>
      </c>
      <c r="B64" s="30" t="s">
        <v>70</v>
      </c>
      <c r="C64" s="29" t="s">
        <v>1036</v>
      </c>
      <c r="D64" s="30" t="s">
        <v>938</v>
      </c>
      <c r="E64" s="29" t="s">
        <v>2135</v>
      </c>
      <c r="F64" s="29" t="s">
        <v>2566</v>
      </c>
      <c r="G64" s="31">
        <v>44</v>
      </c>
      <c r="H64" s="31">
        <v>49</v>
      </c>
      <c r="I64" s="31">
        <v>3</v>
      </c>
      <c r="J64" s="30" t="s">
        <v>2902</v>
      </c>
      <c r="K64" s="54">
        <v>12</v>
      </c>
      <c r="L64" s="31">
        <v>10</v>
      </c>
      <c r="M64" s="31">
        <v>6</v>
      </c>
      <c r="N64" s="30" t="s">
        <v>2903</v>
      </c>
      <c r="O64" s="25">
        <v>2</v>
      </c>
      <c r="P64" s="26" t="s">
        <v>194</v>
      </c>
      <c r="Q64" s="27" t="s">
        <v>2567</v>
      </c>
      <c r="R64" s="28"/>
      <c r="S64" s="28"/>
      <c r="T64" s="28" t="s">
        <v>2568</v>
      </c>
      <c r="U64" s="45">
        <f t="shared" si="3"/>
        <v>6.56</v>
      </c>
    </row>
    <row r="65" spans="1:23" x14ac:dyDescent="0.25">
      <c r="A65" s="228" t="s">
        <v>1501</v>
      </c>
      <c r="B65" s="30" t="s">
        <v>124</v>
      </c>
      <c r="C65" s="29" t="s">
        <v>1036</v>
      </c>
      <c r="D65" s="30" t="s">
        <v>938</v>
      </c>
      <c r="E65" s="29" t="s">
        <v>2059</v>
      </c>
      <c r="F65" s="29" t="s">
        <v>2060</v>
      </c>
      <c r="G65" s="31">
        <v>44</v>
      </c>
      <c r="H65" s="31">
        <v>48</v>
      </c>
      <c r="I65" s="31">
        <v>55</v>
      </c>
      <c r="J65" s="30" t="s">
        <v>2902</v>
      </c>
      <c r="K65" s="54">
        <v>11</v>
      </c>
      <c r="L65" s="31">
        <v>36</v>
      </c>
      <c r="M65" s="31">
        <v>49</v>
      </c>
      <c r="N65" s="30" t="s">
        <v>2903</v>
      </c>
      <c r="O65" s="25">
        <v>6</v>
      </c>
      <c r="P65" s="26" t="s">
        <v>204</v>
      </c>
      <c r="Q65" s="27" t="s">
        <v>163</v>
      </c>
      <c r="R65" s="28" t="s">
        <v>2541</v>
      </c>
      <c r="S65" s="28"/>
      <c r="T65" s="28" t="s">
        <v>2061</v>
      </c>
      <c r="U65" s="45">
        <f t="shared" si="3"/>
        <v>19.68</v>
      </c>
    </row>
    <row r="66" spans="1:23" s="247" customFormat="1" x14ac:dyDescent="0.25">
      <c r="A66" s="228" t="s">
        <v>1502</v>
      </c>
      <c r="B66" s="30" t="s">
        <v>124</v>
      </c>
      <c r="C66" s="29" t="s">
        <v>1036</v>
      </c>
      <c r="D66" s="30" t="s">
        <v>938</v>
      </c>
      <c r="E66" s="29" t="s">
        <v>2059</v>
      </c>
      <c r="F66" s="29" t="s">
        <v>2565</v>
      </c>
      <c r="G66" s="31">
        <v>44</v>
      </c>
      <c r="H66" s="31">
        <v>47</v>
      </c>
      <c r="I66" s="31">
        <v>23</v>
      </c>
      <c r="J66" s="30" t="s">
        <v>2902</v>
      </c>
      <c r="K66" s="54">
        <v>11</v>
      </c>
      <c r="L66" s="31">
        <v>40</v>
      </c>
      <c r="M66" s="31">
        <v>10</v>
      </c>
      <c r="N66" s="30" t="s">
        <v>2903</v>
      </c>
      <c r="O66" s="25">
        <v>6</v>
      </c>
      <c r="P66" s="26" t="s">
        <v>267</v>
      </c>
      <c r="Q66" s="27" t="s">
        <v>2062</v>
      </c>
      <c r="R66" s="28" t="s">
        <v>485</v>
      </c>
      <c r="S66" s="28"/>
      <c r="T66" s="28" t="s">
        <v>2063</v>
      </c>
      <c r="U66" s="45">
        <f t="shared" si="3"/>
        <v>19.68</v>
      </c>
      <c r="V66" s="8"/>
      <c r="W66" s="8"/>
    </row>
    <row r="67" spans="1:23" s="247" customFormat="1" x14ac:dyDescent="0.25">
      <c r="A67" s="228" t="s">
        <v>1503</v>
      </c>
      <c r="B67" s="30" t="s">
        <v>70</v>
      </c>
      <c r="C67" s="29" t="s">
        <v>1036</v>
      </c>
      <c r="D67" s="30" t="s">
        <v>938</v>
      </c>
      <c r="E67" s="29" t="s">
        <v>2138</v>
      </c>
      <c r="F67" s="29" t="s">
        <v>2139</v>
      </c>
      <c r="G67" s="31">
        <v>44</v>
      </c>
      <c r="H67" s="31">
        <v>52</v>
      </c>
      <c r="I67" s="31">
        <v>48</v>
      </c>
      <c r="J67" s="30" t="s">
        <v>2902</v>
      </c>
      <c r="K67" s="54">
        <v>11</v>
      </c>
      <c r="L67" s="31">
        <v>37</v>
      </c>
      <c r="M67" s="31">
        <v>42</v>
      </c>
      <c r="N67" s="30" t="s">
        <v>2903</v>
      </c>
      <c r="O67" s="25">
        <v>0</v>
      </c>
      <c r="P67" s="26" t="s">
        <v>206</v>
      </c>
      <c r="Q67" s="27" t="s">
        <v>207</v>
      </c>
      <c r="R67" s="28"/>
      <c r="S67" s="28"/>
      <c r="T67" s="28" t="s">
        <v>2140</v>
      </c>
      <c r="U67" s="45">
        <f t="shared" ref="U67:U107" si="4">IF(O67&lt;&gt;"",O67*3.28,"")</f>
        <v>0</v>
      </c>
      <c r="V67" s="8"/>
      <c r="W67" s="8"/>
    </row>
    <row r="68" spans="1:23" s="247" customFormat="1" x14ac:dyDescent="0.25">
      <c r="A68" s="228" t="s">
        <v>1504</v>
      </c>
      <c r="B68" s="30" t="s">
        <v>128</v>
      </c>
      <c r="C68" s="29" t="s">
        <v>1036</v>
      </c>
      <c r="D68" s="30" t="s">
        <v>938</v>
      </c>
      <c r="E68" s="29" t="s">
        <v>1196</v>
      </c>
      <c r="F68" s="29" t="s">
        <v>1197</v>
      </c>
      <c r="G68" s="31">
        <v>44</v>
      </c>
      <c r="H68" s="31">
        <v>50</v>
      </c>
      <c r="I68" s="31">
        <v>0</v>
      </c>
      <c r="J68" s="30" t="s">
        <v>2902</v>
      </c>
      <c r="K68" s="54">
        <v>12</v>
      </c>
      <c r="L68" s="31">
        <v>13</v>
      </c>
      <c r="M68" s="31">
        <v>56</v>
      </c>
      <c r="N68" s="30" t="s">
        <v>2903</v>
      </c>
      <c r="O68" s="25">
        <v>1</v>
      </c>
      <c r="P68" s="26" t="s">
        <v>275</v>
      </c>
      <c r="Q68" s="27" t="s">
        <v>615</v>
      </c>
      <c r="R68" s="28" t="s">
        <v>171</v>
      </c>
      <c r="S68" s="28"/>
      <c r="T68" s="28" t="s">
        <v>2630</v>
      </c>
      <c r="U68" s="45">
        <f t="shared" si="3"/>
        <v>3.28</v>
      </c>
      <c r="V68" s="8"/>
      <c r="W68" s="8"/>
    </row>
    <row r="69" spans="1:23" x14ac:dyDescent="0.25">
      <c r="A69" s="228" t="s">
        <v>1505</v>
      </c>
      <c r="B69" s="30" t="s">
        <v>70</v>
      </c>
      <c r="C69" s="29" t="s">
        <v>1036</v>
      </c>
      <c r="D69" s="30" t="s">
        <v>938</v>
      </c>
      <c r="E69" s="29" t="s">
        <v>2141</v>
      </c>
      <c r="F69" s="29" t="s">
        <v>2142</v>
      </c>
      <c r="G69" s="31">
        <v>44</v>
      </c>
      <c r="H69" s="31">
        <v>44</v>
      </c>
      <c r="I69" s="31">
        <v>29</v>
      </c>
      <c r="J69" s="30" t="s">
        <v>2902</v>
      </c>
      <c r="K69" s="54">
        <v>11</v>
      </c>
      <c r="L69" s="31">
        <v>50</v>
      </c>
      <c r="M69" s="31">
        <v>13</v>
      </c>
      <c r="N69" s="30" t="s">
        <v>2903</v>
      </c>
      <c r="O69" s="25">
        <v>0</v>
      </c>
      <c r="P69" s="26" t="s">
        <v>194</v>
      </c>
      <c r="Q69" s="27" t="s">
        <v>241</v>
      </c>
      <c r="R69" s="28"/>
      <c r="S69" s="28"/>
      <c r="T69" s="28" t="s">
        <v>2143</v>
      </c>
      <c r="U69" s="45">
        <f t="shared" si="3"/>
        <v>0</v>
      </c>
    </row>
    <row r="70" spans="1:23" s="247" customFormat="1" x14ac:dyDescent="0.25">
      <c r="A70" s="228" t="s">
        <v>1515</v>
      </c>
      <c r="B70" s="30" t="s">
        <v>70</v>
      </c>
      <c r="C70" s="29" t="s">
        <v>1036</v>
      </c>
      <c r="D70" s="30" t="s">
        <v>939</v>
      </c>
      <c r="E70" s="29" t="s">
        <v>2144</v>
      </c>
      <c r="F70" s="29" t="s">
        <v>2145</v>
      </c>
      <c r="G70" s="31">
        <v>44</v>
      </c>
      <c r="H70" s="31">
        <v>12</v>
      </c>
      <c r="I70" s="31">
        <v>25</v>
      </c>
      <c r="J70" s="30" t="s">
        <v>2902</v>
      </c>
      <c r="K70" s="54">
        <v>12</v>
      </c>
      <c r="L70" s="31">
        <v>10</v>
      </c>
      <c r="M70" s="31">
        <v>22</v>
      </c>
      <c r="N70" s="30" t="s">
        <v>2903</v>
      </c>
      <c r="O70" s="25"/>
      <c r="P70" s="26" t="s">
        <v>206</v>
      </c>
      <c r="Q70" s="27" t="s">
        <v>624</v>
      </c>
      <c r="R70" s="28"/>
      <c r="S70" s="28"/>
      <c r="T70" s="28"/>
      <c r="U70" s="45" t="str">
        <f t="shared" si="3"/>
        <v/>
      </c>
      <c r="V70" s="8"/>
      <c r="W70" s="8"/>
    </row>
    <row r="71" spans="1:23" x14ac:dyDescent="0.25">
      <c r="A71" s="228" t="s">
        <v>1516</v>
      </c>
      <c r="B71" s="30" t="s">
        <v>70</v>
      </c>
      <c r="C71" s="29" t="s">
        <v>1036</v>
      </c>
      <c r="D71" s="30" t="s">
        <v>939</v>
      </c>
      <c r="E71" s="29" t="s">
        <v>2977</v>
      </c>
      <c r="F71" s="29" t="s">
        <v>2000</v>
      </c>
      <c r="G71" s="31">
        <v>44</v>
      </c>
      <c r="H71" s="31">
        <v>7</v>
      </c>
      <c r="I71" s="31">
        <v>10</v>
      </c>
      <c r="J71" s="30" t="s">
        <v>2902</v>
      </c>
      <c r="K71" s="54">
        <v>12</v>
      </c>
      <c r="L71" s="31">
        <v>10</v>
      </c>
      <c r="M71" s="31">
        <v>35</v>
      </c>
      <c r="N71" s="30" t="s">
        <v>2903</v>
      </c>
      <c r="O71" s="25"/>
      <c r="P71" s="26" t="s">
        <v>206</v>
      </c>
      <c r="Q71" s="27" t="s">
        <v>218</v>
      </c>
      <c r="R71" s="28"/>
      <c r="S71" s="28"/>
      <c r="T71" s="28" t="s">
        <v>1075</v>
      </c>
      <c r="U71" s="45" t="str">
        <f t="shared" si="3"/>
        <v/>
      </c>
    </row>
    <row r="72" spans="1:23" x14ac:dyDescent="0.25">
      <c r="A72" s="228" t="s">
        <v>1517</v>
      </c>
      <c r="B72" s="30" t="s">
        <v>124</v>
      </c>
      <c r="C72" s="29" t="s">
        <v>1036</v>
      </c>
      <c r="D72" s="30" t="s">
        <v>939</v>
      </c>
      <c r="E72" s="29" t="s">
        <v>2064</v>
      </c>
      <c r="F72" s="29" t="s">
        <v>2065</v>
      </c>
      <c r="G72" s="31">
        <v>44</v>
      </c>
      <c r="H72" s="31">
        <v>11</v>
      </c>
      <c r="I72" s="31">
        <v>42</v>
      </c>
      <c r="J72" s="30" t="s">
        <v>2902</v>
      </c>
      <c r="K72" s="54">
        <v>12</v>
      </c>
      <c r="L72" s="31">
        <v>4</v>
      </c>
      <c r="M72" s="31">
        <v>11</v>
      </c>
      <c r="N72" s="30" t="s">
        <v>2903</v>
      </c>
      <c r="O72" s="25">
        <v>30</v>
      </c>
      <c r="P72" s="26" t="s">
        <v>342</v>
      </c>
      <c r="Q72" s="27" t="s">
        <v>2859</v>
      </c>
      <c r="R72" s="28" t="s">
        <v>2571</v>
      </c>
      <c r="S72" s="28"/>
      <c r="T72" s="28" t="s">
        <v>2066</v>
      </c>
      <c r="U72" s="45">
        <f t="shared" si="3"/>
        <v>98.399999999999991</v>
      </c>
    </row>
    <row r="73" spans="1:23" x14ac:dyDescent="0.25">
      <c r="A73" s="228" t="s">
        <v>1518</v>
      </c>
      <c r="B73" s="30" t="s">
        <v>70</v>
      </c>
      <c r="C73" s="29" t="s">
        <v>1036</v>
      </c>
      <c r="D73" s="30" t="s">
        <v>939</v>
      </c>
      <c r="E73" s="29" t="s">
        <v>503</v>
      </c>
      <c r="F73" s="29" t="s">
        <v>1998</v>
      </c>
      <c r="G73" s="31">
        <v>43</v>
      </c>
      <c r="H73" s="31">
        <v>58</v>
      </c>
      <c r="I73" s="31">
        <v>57</v>
      </c>
      <c r="J73" s="30" t="s">
        <v>2902</v>
      </c>
      <c r="K73" s="54">
        <v>12</v>
      </c>
      <c r="L73" s="31">
        <v>6</v>
      </c>
      <c r="M73" s="31">
        <v>45</v>
      </c>
      <c r="N73" s="30" t="s">
        <v>2903</v>
      </c>
      <c r="O73" s="25" t="s">
        <v>270</v>
      </c>
      <c r="P73" s="26" t="s">
        <v>206</v>
      </c>
      <c r="Q73" s="27" t="s">
        <v>317</v>
      </c>
      <c r="R73" s="28"/>
      <c r="S73" s="28"/>
      <c r="T73" s="28" t="s">
        <v>2101</v>
      </c>
      <c r="U73" s="45">
        <f t="shared" si="3"/>
        <v>262.39999999999998</v>
      </c>
    </row>
    <row r="74" spans="1:23" x14ac:dyDescent="0.25">
      <c r="A74" s="228" t="s">
        <v>1519</v>
      </c>
      <c r="B74" s="30" t="s">
        <v>128</v>
      </c>
      <c r="C74" s="29" t="s">
        <v>1036</v>
      </c>
      <c r="D74" s="30" t="s">
        <v>939</v>
      </c>
      <c r="E74" s="29" t="s">
        <v>1198</v>
      </c>
      <c r="F74" s="29" t="s">
        <v>1199</v>
      </c>
      <c r="G74" s="31">
        <v>44</v>
      </c>
      <c r="H74" s="31">
        <v>17</v>
      </c>
      <c r="I74" s="31">
        <v>28</v>
      </c>
      <c r="J74" s="30" t="s">
        <v>2902</v>
      </c>
      <c r="K74" s="54">
        <v>12</v>
      </c>
      <c r="L74" s="31">
        <v>1</v>
      </c>
      <c r="M74" s="31">
        <v>34</v>
      </c>
      <c r="N74" s="30" t="s">
        <v>2903</v>
      </c>
      <c r="O74" s="25" t="s">
        <v>577</v>
      </c>
      <c r="P74" s="26" t="s">
        <v>342</v>
      </c>
      <c r="Q74" s="27" t="s">
        <v>578</v>
      </c>
      <c r="R74" s="28" t="s">
        <v>2542</v>
      </c>
      <c r="S74" s="28"/>
      <c r="T74" s="28" t="s">
        <v>579</v>
      </c>
      <c r="U74" s="45">
        <f t="shared" si="3"/>
        <v>104.96</v>
      </c>
    </row>
    <row r="75" spans="1:23" x14ac:dyDescent="0.25">
      <c r="A75" s="228" t="s">
        <v>1604</v>
      </c>
      <c r="B75" s="30" t="s">
        <v>70</v>
      </c>
      <c r="C75" s="29" t="s">
        <v>1036</v>
      </c>
      <c r="D75" s="30" t="s">
        <v>940</v>
      </c>
      <c r="E75" s="29" t="s">
        <v>2926</v>
      </c>
      <c r="F75" s="29" t="s">
        <v>2927</v>
      </c>
      <c r="G75" s="31">
        <v>44</v>
      </c>
      <c r="H75" s="31">
        <v>32</v>
      </c>
      <c r="I75" s="31">
        <v>33</v>
      </c>
      <c r="J75" s="30" t="s">
        <v>2902</v>
      </c>
      <c r="K75" s="54">
        <v>11</v>
      </c>
      <c r="L75" s="31">
        <v>8</v>
      </c>
      <c r="M75" s="31">
        <v>54</v>
      </c>
      <c r="N75" s="30" t="s">
        <v>2903</v>
      </c>
      <c r="O75" s="25"/>
      <c r="P75" s="26" t="s">
        <v>206</v>
      </c>
      <c r="Q75" s="27" t="s">
        <v>610</v>
      </c>
      <c r="R75" s="28"/>
      <c r="S75" s="28"/>
      <c r="T75" s="28" t="s">
        <v>2928</v>
      </c>
      <c r="U75" s="45"/>
    </row>
    <row r="76" spans="1:23" x14ac:dyDescent="0.25">
      <c r="A76" s="228" t="s">
        <v>1605</v>
      </c>
      <c r="B76" s="30" t="s">
        <v>70</v>
      </c>
      <c r="C76" s="29" t="s">
        <v>1036</v>
      </c>
      <c r="D76" s="30" t="s">
        <v>940</v>
      </c>
      <c r="E76" s="29" t="s">
        <v>2146</v>
      </c>
      <c r="F76" s="29" t="s">
        <v>2147</v>
      </c>
      <c r="G76" s="31">
        <v>44</v>
      </c>
      <c r="H76" s="31">
        <v>42</v>
      </c>
      <c r="I76" s="31">
        <v>14</v>
      </c>
      <c r="J76" s="30" t="s">
        <v>2902</v>
      </c>
      <c r="K76" s="54">
        <v>10</v>
      </c>
      <c r="L76" s="31">
        <v>51</v>
      </c>
      <c r="M76" s="31">
        <v>10</v>
      </c>
      <c r="N76" s="30" t="s">
        <v>2903</v>
      </c>
      <c r="O76" s="25">
        <v>36</v>
      </c>
      <c r="P76" s="26" t="s">
        <v>206</v>
      </c>
      <c r="Q76" s="27" t="s">
        <v>415</v>
      </c>
      <c r="R76" s="28" t="s">
        <v>2564</v>
      </c>
      <c r="S76" s="28"/>
      <c r="T76" s="28" t="s">
        <v>2148</v>
      </c>
      <c r="U76" s="45">
        <f>IF(O76&lt;&gt;"",O76*3.28,"")</f>
        <v>118.08</v>
      </c>
    </row>
    <row r="77" spans="1:23" x14ac:dyDescent="0.25">
      <c r="A77" s="228" t="s">
        <v>1606</v>
      </c>
      <c r="B77" s="30" t="s">
        <v>70</v>
      </c>
      <c r="C77" s="29" t="s">
        <v>1036</v>
      </c>
      <c r="D77" s="30" t="s">
        <v>940</v>
      </c>
      <c r="E77" s="29" t="s">
        <v>3013</v>
      </c>
      <c r="F77" s="29" t="s">
        <v>3014</v>
      </c>
      <c r="G77" s="31">
        <v>44</v>
      </c>
      <c r="H77" s="31">
        <v>47</v>
      </c>
      <c r="I77" s="31">
        <v>50</v>
      </c>
      <c r="J77" s="30" t="s">
        <v>2902</v>
      </c>
      <c r="K77" s="54">
        <v>11</v>
      </c>
      <c r="L77" s="31">
        <v>9</v>
      </c>
      <c r="M77" s="31">
        <v>45</v>
      </c>
      <c r="N77" s="30" t="s">
        <v>2903</v>
      </c>
      <c r="O77" s="25" t="s">
        <v>311</v>
      </c>
      <c r="P77" s="26" t="s">
        <v>206</v>
      </c>
      <c r="Q77" s="27" t="s">
        <v>271</v>
      </c>
      <c r="R77" s="28"/>
      <c r="S77" s="28"/>
      <c r="T77" s="28" t="s">
        <v>2102</v>
      </c>
      <c r="U77" s="45">
        <f t="shared" si="4"/>
        <v>164</v>
      </c>
    </row>
    <row r="78" spans="1:23" x14ac:dyDescent="0.25">
      <c r="A78" s="228" t="s">
        <v>1607</v>
      </c>
      <c r="B78" s="30" t="s">
        <v>124</v>
      </c>
      <c r="C78" s="29" t="s">
        <v>1036</v>
      </c>
      <c r="D78" s="30" t="s">
        <v>940</v>
      </c>
      <c r="E78" s="29" t="s">
        <v>3015</v>
      </c>
      <c r="F78" s="29" t="s">
        <v>1951</v>
      </c>
      <c r="G78" s="31">
        <v>44</v>
      </c>
      <c r="H78" s="31">
        <v>50</v>
      </c>
      <c r="I78" s="31">
        <v>2</v>
      </c>
      <c r="J78" s="30" t="s">
        <v>2902</v>
      </c>
      <c r="K78" s="54">
        <v>10</v>
      </c>
      <c r="L78" s="31">
        <v>52</v>
      </c>
      <c r="M78" s="31">
        <v>25</v>
      </c>
      <c r="N78" s="30" t="s">
        <v>2903</v>
      </c>
      <c r="O78" s="25" t="s">
        <v>477</v>
      </c>
      <c r="P78" s="26" t="s">
        <v>330</v>
      </c>
      <c r="Q78" s="27" t="s">
        <v>478</v>
      </c>
      <c r="R78" s="28" t="s">
        <v>479</v>
      </c>
      <c r="S78" s="28"/>
      <c r="T78" s="28" t="s">
        <v>480</v>
      </c>
      <c r="U78" s="45">
        <f t="shared" si="4"/>
        <v>68.88</v>
      </c>
    </row>
    <row r="79" spans="1:23" x14ac:dyDescent="0.25">
      <c r="A79" s="228" t="s">
        <v>1608</v>
      </c>
      <c r="B79" s="30" t="s">
        <v>70</v>
      </c>
      <c r="C79" s="29" t="s">
        <v>1036</v>
      </c>
      <c r="D79" s="30" t="s">
        <v>940</v>
      </c>
      <c r="E79" s="29" t="s">
        <v>3015</v>
      </c>
      <c r="F79" s="29" t="s">
        <v>1201</v>
      </c>
      <c r="G79" s="31">
        <v>44</v>
      </c>
      <c r="H79" s="31">
        <v>46</v>
      </c>
      <c r="I79" s="31">
        <v>20</v>
      </c>
      <c r="J79" s="30" t="s">
        <v>2902</v>
      </c>
      <c r="K79" s="54">
        <v>10</v>
      </c>
      <c r="L79" s="31">
        <v>50</v>
      </c>
      <c r="M79" s="31">
        <v>0</v>
      </c>
      <c r="N79" s="30" t="s">
        <v>2903</v>
      </c>
      <c r="O79" s="25" t="s">
        <v>312</v>
      </c>
      <c r="P79" s="26" t="s">
        <v>330</v>
      </c>
      <c r="Q79" s="27" t="s">
        <v>268</v>
      </c>
      <c r="R79" s="28"/>
      <c r="S79" s="28"/>
      <c r="T79" s="28" t="s">
        <v>660</v>
      </c>
      <c r="U79" s="45">
        <f t="shared" si="4"/>
        <v>98.399999999999991</v>
      </c>
    </row>
    <row r="80" spans="1:23" x14ac:dyDescent="0.25">
      <c r="A80" s="228" t="s">
        <v>1609</v>
      </c>
      <c r="B80" s="30" t="s">
        <v>70</v>
      </c>
      <c r="C80" s="29" t="s">
        <v>1036</v>
      </c>
      <c r="D80" s="30" t="s">
        <v>940</v>
      </c>
      <c r="E80" s="29" t="s">
        <v>2149</v>
      </c>
      <c r="F80" s="29" t="s">
        <v>2150</v>
      </c>
      <c r="G80" s="31">
        <v>44</v>
      </c>
      <c r="H80" s="31">
        <v>51</v>
      </c>
      <c r="I80" s="31">
        <v>28</v>
      </c>
      <c r="J80" s="30" t="s">
        <v>2902</v>
      </c>
      <c r="K80" s="54">
        <v>11</v>
      </c>
      <c r="L80" s="31">
        <v>21</v>
      </c>
      <c r="M80" s="31">
        <v>11</v>
      </c>
      <c r="N80" s="30" t="s">
        <v>2903</v>
      </c>
      <c r="O80" s="25"/>
      <c r="P80" s="26" t="s">
        <v>225</v>
      </c>
      <c r="Q80" s="27" t="s">
        <v>2151</v>
      </c>
      <c r="R80" s="28"/>
      <c r="S80" s="28"/>
      <c r="T80" s="28" t="s">
        <v>2152</v>
      </c>
      <c r="U80" s="45" t="str">
        <f t="shared" si="4"/>
        <v/>
      </c>
    </row>
    <row r="81" spans="1:23" x14ac:dyDescent="0.25">
      <c r="A81" s="228" t="s">
        <v>1610</v>
      </c>
      <c r="B81" s="30" t="s">
        <v>70</v>
      </c>
      <c r="C81" s="29" t="s">
        <v>1036</v>
      </c>
      <c r="D81" s="30" t="s">
        <v>940</v>
      </c>
      <c r="E81" s="29" t="s">
        <v>3016</v>
      </c>
      <c r="F81" s="29" t="s">
        <v>3017</v>
      </c>
      <c r="G81" s="31">
        <v>44</v>
      </c>
      <c r="H81" s="31">
        <v>39</v>
      </c>
      <c r="I81" s="31">
        <v>38</v>
      </c>
      <c r="J81" s="30" t="s">
        <v>2902</v>
      </c>
      <c r="K81" s="54">
        <v>11</v>
      </c>
      <c r="L81" s="31">
        <v>0</v>
      </c>
      <c r="M81" s="31">
        <v>0</v>
      </c>
      <c r="N81" s="30" t="s">
        <v>2903</v>
      </c>
      <c r="O81" s="25" t="s">
        <v>312</v>
      </c>
      <c r="P81" s="26" t="s">
        <v>330</v>
      </c>
      <c r="Q81" s="27" t="s">
        <v>610</v>
      </c>
      <c r="R81" s="28"/>
      <c r="S81" s="28"/>
      <c r="T81" s="28" t="s">
        <v>1956</v>
      </c>
      <c r="U81" s="45">
        <f t="shared" si="4"/>
        <v>98.399999999999991</v>
      </c>
    </row>
    <row r="82" spans="1:23" x14ac:dyDescent="0.25">
      <c r="A82" s="228" t="s">
        <v>1611</v>
      </c>
      <c r="B82" s="30" t="s">
        <v>124</v>
      </c>
      <c r="C82" s="29" t="s">
        <v>1036</v>
      </c>
      <c r="D82" s="30" t="s">
        <v>940</v>
      </c>
      <c r="E82" s="29" t="s">
        <v>2067</v>
      </c>
      <c r="F82" s="29" t="s">
        <v>2068</v>
      </c>
      <c r="G82" s="31">
        <v>44</v>
      </c>
      <c r="H82" s="31">
        <v>38</v>
      </c>
      <c r="I82" s="31">
        <v>0</v>
      </c>
      <c r="J82" s="30" t="s">
        <v>2902</v>
      </c>
      <c r="K82" s="54">
        <v>10</v>
      </c>
      <c r="L82" s="31">
        <v>49</v>
      </c>
      <c r="M82" s="31">
        <v>0</v>
      </c>
      <c r="N82" s="30" t="s">
        <v>2903</v>
      </c>
      <c r="O82" s="25">
        <v>56</v>
      </c>
      <c r="P82" s="26" t="s">
        <v>277</v>
      </c>
      <c r="Q82" s="27" t="s">
        <v>2069</v>
      </c>
      <c r="R82" s="28" t="s">
        <v>242</v>
      </c>
      <c r="S82" s="28"/>
      <c r="T82" s="28" t="s">
        <v>2070</v>
      </c>
      <c r="U82" s="45">
        <f t="shared" si="4"/>
        <v>183.67999999999998</v>
      </c>
    </row>
    <row r="83" spans="1:23" x14ac:dyDescent="0.25">
      <c r="A83" s="228" t="s">
        <v>1612</v>
      </c>
      <c r="B83" s="30" t="s">
        <v>124</v>
      </c>
      <c r="C83" s="29" t="s">
        <v>1036</v>
      </c>
      <c r="D83" s="30" t="s">
        <v>940</v>
      </c>
      <c r="E83" s="29" t="s">
        <v>1952</v>
      </c>
      <c r="F83" s="29" t="s">
        <v>1953</v>
      </c>
      <c r="G83" s="31">
        <v>44</v>
      </c>
      <c r="H83" s="31">
        <v>19</v>
      </c>
      <c r="I83" s="31">
        <v>18</v>
      </c>
      <c r="J83" s="30" t="s">
        <v>2902</v>
      </c>
      <c r="K83" s="54">
        <v>10</v>
      </c>
      <c r="L83" s="31">
        <v>49</v>
      </c>
      <c r="M83" s="31">
        <v>55</v>
      </c>
      <c r="N83" s="30" t="s">
        <v>2903</v>
      </c>
      <c r="O83" s="25" t="s">
        <v>483</v>
      </c>
      <c r="P83" s="26" t="s">
        <v>225</v>
      </c>
      <c r="Q83" s="27" t="s">
        <v>484</v>
      </c>
      <c r="R83" s="28" t="s">
        <v>485</v>
      </c>
      <c r="S83" s="28"/>
      <c r="T83" s="28" t="s">
        <v>486</v>
      </c>
      <c r="U83" s="45">
        <f t="shared" si="4"/>
        <v>2230.4</v>
      </c>
    </row>
    <row r="84" spans="1:23" x14ac:dyDescent="0.25">
      <c r="A84" s="228" t="s">
        <v>1613</v>
      </c>
      <c r="B84" s="30" t="s">
        <v>70</v>
      </c>
      <c r="C84" s="29" t="s">
        <v>1036</v>
      </c>
      <c r="D84" s="30" t="s">
        <v>940</v>
      </c>
      <c r="E84" s="29" t="s">
        <v>332</v>
      </c>
      <c r="F84" s="29" t="s">
        <v>333</v>
      </c>
      <c r="G84" s="31">
        <v>44</v>
      </c>
      <c r="H84" s="31">
        <v>44</v>
      </c>
      <c r="I84" s="31">
        <v>54</v>
      </c>
      <c r="J84" s="30" t="s">
        <v>2902</v>
      </c>
      <c r="K84" s="54">
        <v>11</v>
      </c>
      <c r="L84" s="31">
        <v>5</v>
      </c>
      <c r="M84" s="31">
        <v>0</v>
      </c>
      <c r="N84" s="30" t="s">
        <v>2903</v>
      </c>
      <c r="O84" s="25" t="s">
        <v>228</v>
      </c>
      <c r="P84" s="26" t="s">
        <v>342</v>
      </c>
      <c r="Q84" s="27" t="s">
        <v>298</v>
      </c>
      <c r="R84" s="28"/>
      <c r="S84" s="28"/>
      <c r="T84" s="28" t="s">
        <v>1955</v>
      </c>
      <c r="U84" s="45">
        <f t="shared" si="4"/>
        <v>65.599999999999994</v>
      </c>
    </row>
    <row r="85" spans="1:23" x14ac:dyDescent="0.25">
      <c r="A85" s="228" t="s">
        <v>1614</v>
      </c>
      <c r="B85" s="30" t="s">
        <v>70</v>
      </c>
      <c r="C85" s="29" t="s">
        <v>1036</v>
      </c>
      <c r="D85" s="30" t="s">
        <v>940</v>
      </c>
      <c r="E85" s="29" t="s">
        <v>2153</v>
      </c>
      <c r="F85" s="29" t="s">
        <v>1352</v>
      </c>
      <c r="G85" s="31">
        <v>44</v>
      </c>
      <c r="H85" s="31">
        <v>49</v>
      </c>
      <c r="I85" s="31">
        <v>48</v>
      </c>
      <c r="J85" s="30" t="s">
        <v>2902</v>
      </c>
      <c r="K85" s="54">
        <v>11</v>
      </c>
      <c r="L85" s="31">
        <v>7</v>
      </c>
      <c r="M85" s="31">
        <v>28</v>
      </c>
      <c r="N85" s="30" t="s">
        <v>2903</v>
      </c>
      <c r="O85" s="25">
        <v>19</v>
      </c>
      <c r="P85" s="26" t="s">
        <v>187</v>
      </c>
      <c r="Q85" s="27" t="s">
        <v>415</v>
      </c>
      <c r="R85" s="28"/>
      <c r="S85" s="28"/>
      <c r="T85" s="28" t="s">
        <v>2154</v>
      </c>
      <c r="U85" s="45">
        <f t="shared" si="4"/>
        <v>62.319999999999993</v>
      </c>
    </row>
    <row r="86" spans="1:23" x14ac:dyDescent="0.25">
      <c r="A86" s="228" t="s">
        <v>1615</v>
      </c>
      <c r="B86" s="30" t="s">
        <v>128</v>
      </c>
      <c r="C86" s="29" t="s">
        <v>1036</v>
      </c>
      <c r="D86" s="30" t="s">
        <v>940</v>
      </c>
      <c r="E86" s="29" t="s">
        <v>3018</v>
      </c>
      <c r="F86" s="29" t="s">
        <v>1995</v>
      </c>
      <c r="G86" s="31">
        <v>44</v>
      </c>
      <c r="H86" s="31">
        <v>52</v>
      </c>
      <c r="I86" s="31">
        <v>18</v>
      </c>
      <c r="J86" s="30" t="s">
        <v>2902</v>
      </c>
      <c r="K86" s="54">
        <v>10</v>
      </c>
      <c r="L86" s="31">
        <v>58</v>
      </c>
      <c r="M86" s="31">
        <v>48</v>
      </c>
      <c r="N86" s="30" t="s">
        <v>2903</v>
      </c>
      <c r="O86" s="25" t="s">
        <v>383</v>
      </c>
      <c r="P86" s="26" t="s">
        <v>258</v>
      </c>
      <c r="Q86" s="27" t="s">
        <v>293</v>
      </c>
      <c r="R86" s="28" t="s">
        <v>171</v>
      </c>
      <c r="S86" s="28"/>
      <c r="T86" s="28" t="s">
        <v>1962</v>
      </c>
      <c r="U86" s="45">
        <f t="shared" si="4"/>
        <v>45.919999999999995</v>
      </c>
    </row>
    <row r="87" spans="1:23" x14ac:dyDescent="0.25">
      <c r="A87" s="228" t="s">
        <v>1616</v>
      </c>
      <c r="B87" s="30" t="s">
        <v>128</v>
      </c>
      <c r="C87" s="29" t="s">
        <v>1036</v>
      </c>
      <c r="D87" s="30" t="s">
        <v>940</v>
      </c>
      <c r="E87" s="29" t="s">
        <v>3019</v>
      </c>
      <c r="F87" s="29" t="s">
        <v>1200</v>
      </c>
      <c r="G87" s="31">
        <v>44</v>
      </c>
      <c r="H87" s="31">
        <v>34</v>
      </c>
      <c r="I87" s="31">
        <v>32</v>
      </c>
      <c r="J87" s="30" t="s">
        <v>2902</v>
      </c>
      <c r="K87" s="54">
        <v>10</v>
      </c>
      <c r="L87" s="31">
        <v>46</v>
      </c>
      <c r="M87" s="31">
        <v>55</v>
      </c>
      <c r="N87" s="30" t="s">
        <v>2903</v>
      </c>
      <c r="O87" s="25" t="s">
        <v>250</v>
      </c>
      <c r="P87" s="26" t="s">
        <v>206</v>
      </c>
      <c r="Q87" s="27" t="s">
        <v>365</v>
      </c>
      <c r="R87" s="28" t="s">
        <v>462</v>
      </c>
      <c r="S87" s="28"/>
      <c r="T87" s="28" t="s">
        <v>2631</v>
      </c>
      <c r="U87" s="45">
        <f t="shared" si="4"/>
        <v>328</v>
      </c>
    </row>
    <row r="88" spans="1:23" x14ac:dyDescent="0.25">
      <c r="A88" s="228" t="s">
        <v>1639</v>
      </c>
      <c r="B88" s="30" t="s">
        <v>70</v>
      </c>
      <c r="C88" s="29" t="s">
        <v>1036</v>
      </c>
      <c r="D88" s="30" t="s">
        <v>941</v>
      </c>
      <c r="E88" s="29" t="s">
        <v>564</v>
      </c>
      <c r="F88" s="29" t="s">
        <v>565</v>
      </c>
      <c r="G88" s="31">
        <v>44</v>
      </c>
      <c r="H88" s="31">
        <v>58</v>
      </c>
      <c r="I88" s="31">
        <v>19</v>
      </c>
      <c r="J88" s="30" t="s">
        <v>2902</v>
      </c>
      <c r="K88" s="54">
        <v>9</v>
      </c>
      <c r="L88" s="31">
        <v>28</v>
      </c>
      <c r="M88" s="31">
        <v>48</v>
      </c>
      <c r="N88" s="30" t="s">
        <v>2903</v>
      </c>
      <c r="O88" s="25" t="s">
        <v>329</v>
      </c>
      <c r="P88" s="26" t="s">
        <v>258</v>
      </c>
      <c r="Q88" s="27" t="s">
        <v>2415</v>
      </c>
      <c r="R88" s="28" t="s">
        <v>171</v>
      </c>
      <c r="S88" s="28"/>
      <c r="T88" s="28" t="s">
        <v>1954</v>
      </c>
      <c r="U88" s="45">
        <f t="shared" si="4"/>
        <v>491.99999999999994</v>
      </c>
    </row>
    <row r="89" spans="1:23" x14ac:dyDescent="0.25">
      <c r="A89" s="228" t="s">
        <v>1640</v>
      </c>
      <c r="B89" s="30" t="s">
        <v>70</v>
      </c>
      <c r="C89" s="29" t="s">
        <v>1036</v>
      </c>
      <c r="D89" s="30" t="s">
        <v>941</v>
      </c>
      <c r="E89" s="29" t="s">
        <v>1946</v>
      </c>
      <c r="F89" s="29" t="s">
        <v>677</v>
      </c>
      <c r="G89" s="31">
        <v>44</v>
      </c>
      <c r="H89" s="31">
        <v>46</v>
      </c>
      <c r="I89" s="31">
        <v>45</v>
      </c>
      <c r="J89" s="30" t="s">
        <v>2902</v>
      </c>
      <c r="K89" s="54">
        <v>9</v>
      </c>
      <c r="L89" s="31">
        <v>20</v>
      </c>
      <c r="M89" s="31">
        <v>7</v>
      </c>
      <c r="N89" s="30" t="s">
        <v>2903</v>
      </c>
      <c r="O89" s="25" t="s">
        <v>678</v>
      </c>
      <c r="P89" s="26" t="s">
        <v>204</v>
      </c>
      <c r="Q89" s="27" t="s">
        <v>2163</v>
      </c>
      <c r="R89" s="28"/>
      <c r="S89" s="28"/>
      <c r="T89" s="28" t="s">
        <v>2185</v>
      </c>
      <c r="U89" s="45">
        <f t="shared" si="4"/>
        <v>2820.7999999999997</v>
      </c>
    </row>
    <row r="90" spans="1:23" x14ac:dyDescent="0.25">
      <c r="A90" s="228" t="s">
        <v>1641</v>
      </c>
      <c r="B90" s="30" t="s">
        <v>128</v>
      </c>
      <c r="C90" s="29" t="s">
        <v>1036</v>
      </c>
      <c r="D90" s="30" t="s">
        <v>941</v>
      </c>
      <c r="E90" s="29" t="s">
        <v>2173</v>
      </c>
      <c r="F90" s="29" t="s">
        <v>2084</v>
      </c>
      <c r="G90" s="31">
        <v>45</v>
      </c>
      <c r="H90" s="31">
        <v>0</v>
      </c>
      <c r="I90" s="31">
        <v>0</v>
      </c>
      <c r="J90" s="30" t="s">
        <v>2902</v>
      </c>
      <c r="K90" s="54">
        <v>9</v>
      </c>
      <c r="L90" s="31">
        <v>35</v>
      </c>
      <c r="M90" s="31">
        <v>0</v>
      </c>
      <c r="N90" s="30" t="s">
        <v>2903</v>
      </c>
      <c r="O90" s="25">
        <v>85</v>
      </c>
      <c r="P90" s="26" t="s">
        <v>187</v>
      </c>
      <c r="Q90" s="27" t="s">
        <v>2085</v>
      </c>
      <c r="R90" s="28" t="s">
        <v>2570</v>
      </c>
      <c r="S90" s="28"/>
      <c r="T90" s="28" t="s">
        <v>2086</v>
      </c>
      <c r="U90" s="45">
        <f t="shared" si="4"/>
        <v>278.8</v>
      </c>
    </row>
    <row r="91" spans="1:23" x14ac:dyDescent="0.25">
      <c r="A91" s="228" t="s">
        <v>1642</v>
      </c>
      <c r="B91" s="30" t="s">
        <v>70</v>
      </c>
      <c r="C91" s="29" t="s">
        <v>1036</v>
      </c>
      <c r="D91" s="30" t="s">
        <v>941</v>
      </c>
      <c r="E91" s="29" t="s">
        <v>3058</v>
      </c>
      <c r="F91" s="29" t="s">
        <v>3059</v>
      </c>
      <c r="G91" s="31">
        <v>45</v>
      </c>
      <c r="H91" s="31">
        <v>1</v>
      </c>
      <c r="I91" s="31">
        <v>31</v>
      </c>
      <c r="J91" s="30" t="s">
        <v>2902</v>
      </c>
      <c r="K91" s="54">
        <v>9</v>
      </c>
      <c r="L91" s="31">
        <v>36</v>
      </c>
      <c r="M91" s="31">
        <v>15</v>
      </c>
      <c r="N91" s="30" t="s">
        <v>2903</v>
      </c>
      <c r="O91" s="25" t="s">
        <v>253</v>
      </c>
      <c r="P91" s="26" t="s">
        <v>263</v>
      </c>
      <c r="Q91" s="27" t="s">
        <v>2161</v>
      </c>
      <c r="R91" s="28"/>
      <c r="S91" s="28"/>
      <c r="T91" s="28" t="s">
        <v>2162</v>
      </c>
      <c r="U91" s="45">
        <f t="shared" si="4"/>
        <v>213.2</v>
      </c>
    </row>
    <row r="92" spans="1:23" x14ac:dyDescent="0.25">
      <c r="A92" s="228" t="s">
        <v>1682</v>
      </c>
      <c r="B92" s="248" t="s">
        <v>124</v>
      </c>
      <c r="C92" s="29" t="s">
        <v>1036</v>
      </c>
      <c r="D92" s="248" t="s">
        <v>907</v>
      </c>
      <c r="E92" s="265" t="s">
        <v>1295</v>
      </c>
      <c r="F92" s="265" t="s">
        <v>1339</v>
      </c>
      <c r="G92" s="250">
        <v>44</v>
      </c>
      <c r="H92" s="250" t="s">
        <v>1340</v>
      </c>
      <c r="I92" s="250">
        <v>48</v>
      </c>
      <c r="J92" s="251" t="s">
        <v>2902</v>
      </c>
      <c r="K92" s="252" t="s">
        <v>1341</v>
      </c>
      <c r="L92" s="250" t="s">
        <v>645</v>
      </c>
      <c r="M92" s="250">
        <v>24</v>
      </c>
      <c r="N92" s="248" t="s">
        <v>2903</v>
      </c>
      <c r="O92" s="253">
        <v>130</v>
      </c>
      <c r="P92" s="260" t="s">
        <v>342</v>
      </c>
      <c r="Q92" s="261" t="s">
        <v>1342</v>
      </c>
      <c r="R92" s="262"/>
      <c r="S92" s="263"/>
      <c r="T92" s="263"/>
      <c r="U92" s="264">
        <f>IF(O92&lt;&gt;"",O92*3.28,"")</f>
        <v>426.4</v>
      </c>
      <c r="V92" s="259"/>
      <c r="W92" s="259"/>
    </row>
    <row r="93" spans="1:23" x14ac:dyDescent="0.25">
      <c r="A93" s="228" t="s">
        <v>1693</v>
      </c>
      <c r="B93" s="30" t="s">
        <v>70</v>
      </c>
      <c r="C93" s="29" t="s">
        <v>1036</v>
      </c>
      <c r="D93" s="30" t="s">
        <v>942</v>
      </c>
      <c r="E93" s="29" t="s">
        <v>343</v>
      </c>
      <c r="F93" s="29" t="s">
        <v>344</v>
      </c>
      <c r="G93" s="31">
        <v>44</v>
      </c>
      <c r="H93" s="31">
        <v>59</v>
      </c>
      <c r="I93" s="31">
        <v>36</v>
      </c>
      <c r="J93" s="30" t="s">
        <v>2902</v>
      </c>
      <c r="K93" s="54">
        <v>10</v>
      </c>
      <c r="L93" s="31">
        <v>3</v>
      </c>
      <c r="M93" s="31">
        <v>31</v>
      </c>
      <c r="N93" s="30" t="s">
        <v>2903</v>
      </c>
      <c r="O93" s="25" t="s">
        <v>345</v>
      </c>
      <c r="P93" s="26" t="s">
        <v>330</v>
      </c>
      <c r="Q93" s="27" t="s">
        <v>346</v>
      </c>
      <c r="R93" s="28"/>
      <c r="S93" s="28"/>
      <c r="T93" s="28" t="s">
        <v>1957</v>
      </c>
      <c r="U93" s="45">
        <f t="shared" si="4"/>
        <v>131.19999999999999</v>
      </c>
    </row>
    <row r="94" spans="1:23" x14ac:dyDescent="0.25">
      <c r="A94" s="228" t="s">
        <v>1694</v>
      </c>
      <c r="B94" s="30" t="s">
        <v>70</v>
      </c>
      <c r="C94" s="29" t="s">
        <v>1036</v>
      </c>
      <c r="D94" s="30" t="s">
        <v>942</v>
      </c>
      <c r="E94" s="29" t="s">
        <v>1947</v>
      </c>
      <c r="F94" s="29" t="s">
        <v>1948</v>
      </c>
      <c r="G94" s="31">
        <v>44</v>
      </c>
      <c r="H94" s="31">
        <v>42</v>
      </c>
      <c r="I94" s="31">
        <v>38</v>
      </c>
      <c r="J94" s="30" t="s">
        <v>2902</v>
      </c>
      <c r="K94" s="54">
        <v>10</v>
      </c>
      <c r="L94" s="31">
        <v>15</v>
      </c>
      <c r="M94" s="31">
        <v>0</v>
      </c>
      <c r="N94" s="30" t="s">
        <v>2903</v>
      </c>
      <c r="O94" s="25" t="s">
        <v>193</v>
      </c>
      <c r="P94" s="26" t="s">
        <v>330</v>
      </c>
      <c r="Q94" s="27" t="s">
        <v>487</v>
      </c>
      <c r="R94" s="28"/>
      <c r="S94" s="28"/>
      <c r="T94" s="28" t="s">
        <v>488</v>
      </c>
      <c r="U94" s="45">
        <f t="shared" si="4"/>
        <v>459.2</v>
      </c>
    </row>
    <row r="95" spans="1:23" x14ac:dyDescent="0.25">
      <c r="A95" s="228" t="s">
        <v>1695</v>
      </c>
      <c r="B95" s="30" t="s">
        <v>70</v>
      </c>
      <c r="C95" s="29" t="s">
        <v>1036</v>
      </c>
      <c r="D95" s="30" t="s">
        <v>942</v>
      </c>
      <c r="E95" s="29" t="s">
        <v>653</v>
      </c>
      <c r="F95" s="29" t="s">
        <v>654</v>
      </c>
      <c r="G95" s="31">
        <v>44</v>
      </c>
      <c r="H95" s="31">
        <v>52</v>
      </c>
      <c r="I95" s="31">
        <v>52</v>
      </c>
      <c r="J95" s="30" t="s">
        <v>2902</v>
      </c>
      <c r="K95" s="54">
        <v>10</v>
      </c>
      <c r="L95" s="31">
        <v>13</v>
      </c>
      <c r="M95" s="31">
        <v>2</v>
      </c>
      <c r="N95" s="30" t="s">
        <v>2903</v>
      </c>
      <c r="O95" s="25" t="s">
        <v>345</v>
      </c>
      <c r="P95" s="26" t="s">
        <v>330</v>
      </c>
      <c r="Q95" s="27" t="s">
        <v>245</v>
      </c>
      <c r="R95" s="28"/>
      <c r="S95" s="28"/>
      <c r="T95" s="28" t="s">
        <v>1958</v>
      </c>
      <c r="U95" s="45">
        <f t="shared" si="4"/>
        <v>131.19999999999999</v>
      </c>
    </row>
    <row r="96" spans="1:23" s="247" customFormat="1" x14ac:dyDescent="0.25">
      <c r="A96" s="228" t="s">
        <v>1696</v>
      </c>
      <c r="B96" s="30" t="s">
        <v>124</v>
      </c>
      <c r="C96" s="29" t="s">
        <v>1036</v>
      </c>
      <c r="D96" s="30" t="s">
        <v>942</v>
      </c>
      <c r="E96" s="29" t="s">
        <v>2071</v>
      </c>
      <c r="F96" s="29" t="s">
        <v>2072</v>
      </c>
      <c r="G96" s="31">
        <v>44</v>
      </c>
      <c r="H96" s="31">
        <v>49</v>
      </c>
      <c r="I96" s="31">
        <v>15</v>
      </c>
      <c r="J96" s="30" t="s">
        <v>2902</v>
      </c>
      <c r="K96" s="54">
        <v>10</v>
      </c>
      <c r="L96" s="31">
        <v>17</v>
      </c>
      <c r="M96" s="31">
        <v>42</v>
      </c>
      <c r="N96" s="30" t="s">
        <v>2903</v>
      </c>
      <c r="O96" s="25">
        <v>50</v>
      </c>
      <c r="P96" s="26" t="s">
        <v>330</v>
      </c>
      <c r="Q96" s="27" t="s">
        <v>2861</v>
      </c>
      <c r="R96" s="28" t="s">
        <v>2477</v>
      </c>
      <c r="S96" s="28"/>
      <c r="T96" s="28" t="s">
        <v>2073</v>
      </c>
      <c r="U96" s="45">
        <f t="shared" si="4"/>
        <v>164</v>
      </c>
      <c r="V96" s="8"/>
      <c r="W96" s="8"/>
    </row>
    <row r="97" spans="1:23" s="247" customFormat="1" x14ac:dyDescent="0.25">
      <c r="A97" s="228" t="s">
        <v>1697</v>
      </c>
      <c r="B97" s="30" t="s">
        <v>128</v>
      </c>
      <c r="C97" s="29" t="s">
        <v>1036</v>
      </c>
      <c r="D97" s="30" t="s">
        <v>942</v>
      </c>
      <c r="E97" s="29" t="s">
        <v>2174</v>
      </c>
      <c r="F97" s="29" t="s">
        <v>2087</v>
      </c>
      <c r="G97" s="31">
        <v>44</v>
      </c>
      <c r="H97" s="31">
        <v>40</v>
      </c>
      <c r="I97" s="31">
        <v>10</v>
      </c>
      <c r="J97" s="30" t="s">
        <v>2902</v>
      </c>
      <c r="K97" s="54">
        <v>10</v>
      </c>
      <c r="L97" s="31">
        <v>3</v>
      </c>
      <c r="M97" s="31">
        <v>33</v>
      </c>
      <c r="N97" s="30" t="s">
        <v>2903</v>
      </c>
      <c r="O97" s="25">
        <v>160</v>
      </c>
      <c r="P97" s="26" t="s">
        <v>225</v>
      </c>
      <c r="Q97" s="27" t="s">
        <v>687</v>
      </c>
      <c r="R97" s="28"/>
      <c r="S97" s="28"/>
      <c r="T97" s="28" t="s">
        <v>2088</v>
      </c>
      <c r="U97" s="45">
        <f t="shared" si="4"/>
        <v>524.79999999999995</v>
      </c>
      <c r="V97" s="8"/>
      <c r="W97" s="8"/>
    </row>
    <row r="98" spans="1:23" x14ac:dyDescent="0.25">
      <c r="A98" s="228" t="s">
        <v>1698</v>
      </c>
      <c r="B98" s="30" t="s">
        <v>70</v>
      </c>
      <c r="C98" s="29" t="s">
        <v>1036</v>
      </c>
      <c r="D98" s="30" t="s">
        <v>942</v>
      </c>
      <c r="E98" s="29" t="s">
        <v>327</v>
      </c>
      <c r="F98" s="29" t="s">
        <v>328</v>
      </c>
      <c r="G98" s="31">
        <v>44</v>
      </c>
      <c r="H98" s="31">
        <v>49</v>
      </c>
      <c r="I98" s="31">
        <v>37</v>
      </c>
      <c r="J98" s="30" t="s">
        <v>2902</v>
      </c>
      <c r="K98" s="54">
        <v>10</v>
      </c>
      <c r="L98" s="31">
        <v>0</v>
      </c>
      <c r="M98" s="31">
        <v>36</v>
      </c>
      <c r="N98" s="30" t="s">
        <v>2903</v>
      </c>
      <c r="O98" s="25" t="s">
        <v>329</v>
      </c>
      <c r="P98" s="26" t="s">
        <v>330</v>
      </c>
      <c r="Q98" s="27" t="s">
        <v>136</v>
      </c>
      <c r="R98" s="28"/>
      <c r="S98" s="28"/>
      <c r="T98" s="28" t="s">
        <v>331</v>
      </c>
      <c r="U98" s="45">
        <f t="shared" si="4"/>
        <v>491.99999999999994</v>
      </c>
    </row>
    <row r="99" spans="1:23" x14ac:dyDescent="0.25">
      <c r="A99" s="228" t="s">
        <v>1699</v>
      </c>
      <c r="B99" s="30" t="s">
        <v>70</v>
      </c>
      <c r="C99" s="29" t="s">
        <v>1036</v>
      </c>
      <c r="D99" s="30" t="s">
        <v>942</v>
      </c>
      <c r="E99" s="29" t="s">
        <v>644</v>
      </c>
      <c r="F99" s="29" t="s">
        <v>1999</v>
      </c>
      <c r="G99" s="31">
        <v>44</v>
      </c>
      <c r="H99" s="31">
        <v>58</v>
      </c>
      <c r="I99" s="31">
        <v>18</v>
      </c>
      <c r="J99" s="30" t="s">
        <v>2902</v>
      </c>
      <c r="K99" s="54">
        <v>10</v>
      </c>
      <c r="L99" s="31">
        <v>17</v>
      </c>
      <c r="M99" s="31">
        <v>42</v>
      </c>
      <c r="N99" s="30" t="s">
        <v>2903</v>
      </c>
      <c r="O99" s="25" t="s">
        <v>645</v>
      </c>
      <c r="P99" s="26" t="s">
        <v>330</v>
      </c>
      <c r="Q99" s="27" t="s">
        <v>646</v>
      </c>
      <c r="R99" s="28"/>
      <c r="S99" s="28"/>
      <c r="T99" s="28" t="s">
        <v>1959</v>
      </c>
      <c r="U99" s="45">
        <f t="shared" si="4"/>
        <v>141.04</v>
      </c>
    </row>
    <row r="100" spans="1:23" x14ac:dyDescent="0.25">
      <c r="A100" s="228" t="s">
        <v>1700</v>
      </c>
      <c r="B100" s="30" t="s">
        <v>128</v>
      </c>
      <c r="C100" s="29" t="s">
        <v>1036</v>
      </c>
      <c r="D100" s="30" t="s">
        <v>942</v>
      </c>
      <c r="E100" s="29" t="s">
        <v>2089</v>
      </c>
      <c r="F100" s="29" t="s">
        <v>2090</v>
      </c>
      <c r="G100" s="31">
        <v>44</v>
      </c>
      <c r="H100" s="31">
        <v>42</v>
      </c>
      <c r="I100" s="31">
        <v>48</v>
      </c>
      <c r="J100" s="30" t="s">
        <v>2902</v>
      </c>
      <c r="K100" s="54">
        <v>10</v>
      </c>
      <c r="L100" s="31">
        <v>20</v>
      </c>
      <c r="M100" s="31">
        <v>7</v>
      </c>
      <c r="N100" s="30" t="s">
        <v>2903</v>
      </c>
      <c r="O100" s="25">
        <v>56</v>
      </c>
      <c r="P100" s="26" t="s">
        <v>330</v>
      </c>
      <c r="Q100" s="27" t="s">
        <v>2860</v>
      </c>
      <c r="R100" s="28"/>
      <c r="S100" s="28"/>
      <c r="T100" s="28" t="s">
        <v>2091</v>
      </c>
      <c r="U100" s="45">
        <f t="shared" si="4"/>
        <v>183.67999999999998</v>
      </c>
    </row>
    <row r="101" spans="1:23" x14ac:dyDescent="0.25">
      <c r="A101" s="228" t="s">
        <v>1719</v>
      </c>
      <c r="B101" s="30" t="s">
        <v>128</v>
      </c>
      <c r="C101" s="29" t="s">
        <v>1036</v>
      </c>
      <c r="D101" s="30" t="s">
        <v>943</v>
      </c>
      <c r="E101" s="29" t="s">
        <v>513</v>
      </c>
      <c r="F101" s="29" t="s">
        <v>3069</v>
      </c>
      <c r="G101" s="31">
        <v>44</v>
      </c>
      <c r="H101" s="31">
        <v>30</v>
      </c>
      <c r="I101" s="31">
        <v>1</v>
      </c>
      <c r="J101" s="30" t="s">
        <v>2902</v>
      </c>
      <c r="K101" s="54">
        <v>11</v>
      </c>
      <c r="L101" s="31">
        <v>56</v>
      </c>
      <c r="M101" s="31">
        <v>40</v>
      </c>
      <c r="N101" s="30" t="s">
        <v>2903</v>
      </c>
      <c r="O101" s="25" t="s">
        <v>514</v>
      </c>
      <c r="P101" s="26" t="s">
        <v>247</v>
      </c>
      <c r="Q101" s="27" t="s">
        <v>515</v>
      </c>
      <c r="R101" s="28" t="s">
        <v>171</v>
      </c>
      <c r="S101" s="28"/>
      <c r="T101" s="28" t="s">
        <v>2098</v>
      </c>
      <c r="U101" s="45">
        <f t="shared" si="4"/>
        <v>36.08</v>
      </c>
    </row>
    <row r="102" spans="1:23" x14ac:dyDescent="0.25">
      <c r="A102" s="228" t="s">
        <v>1720</v>
      </c>
      <c r="B102" s="248" t="s">
        <v>124</v>
      </c>
      <c r="C102" s="29" t="s">
        <v>1036</v>
      </c>
      <c r="D102" s="248" t="s">
        <v>943</v>
      </c>
      <c r="E102" s="249" t="s">
        <v>1337</v>
      </c>
      <c r="F102" s="249" t="s">
        <v>1338</v>
      </c>
      <c r="G102" s="250">
        <v>44</v>
      </c>
      <c r="H102" s="250">
        <v>13</v>
      </c>
      <c r="I102" s="250">
        <v>22</v>
      </c>
      <c r="J102" s="251" t="s">
        <v>2902</v>
      </c>
      <c r="K102" s="252">
        <v>12</v>
      </c>
      <c r="L102" s="250">
        <v>18</v>
      </c>
      <c r="M102" s="250">
        <v>53</v>
      </c>
      <c r="N102" s="248" t="s">
        <v>2903</v>
      </c>
      <c r="O102" s="253">
        <v>0.5</v>
      </c>
      <c r="P102" s="260" t="s">
        <v>267</v>
      </c>
      <c r="Q102" s="261" t="s">
        <v>2859</v>
      </c>
      <c r="R102" s="262"/>
      <c r="S102" s="263"/>
      <c r="T102" s="263"/>
      <c r="U102" s="264">
        <f t="shared" si="4"/>
        <v>1.64</v>
      </c>
      <c r="V102" s="259"/>
      <c r="W102" s="259"/>
    </row>
    <row r="103" spans="1:23" x14ac:dyDescent="0.25">
      <c r="A103" s="228" t="s">
        <v>1721</v>
      </c>
      <c r="B103" s="30" t="s">
        <v>128</v>
      </c>
      <c r="C103" s="29" t="s">
        <v>1036</v>
      </c>
      <c r="D103" s="30" t="s">
        <v>943</v>
      </c>
      <c r="E103" s="29" t="s">
        <v>2172</v>
      </c>
      <c r="F103" s="29" t="s">
        <v>3070</v>
      </c>
      <c r="G103" s="31">
        <v>44</v>
      </c>
      <c r="H103" s="31">
        <v>19</v>
      </c>
      <c r="I103" s="31">
        <v>18</v>
      </c>
      <c r="J103" s="30" t="s">
        <v>2902</v>
      </c>
      <c r="K103" s="54">
        <v>12</v>
      </c>
      <c r="L103" s="31">
        <v>18</v>
      </c>
      <c r="M103" s="31">
        <v>30</v>
      </c>
      <c r="N103" s="30" t="s">
        <v>2903</v>
      </c>
      <c r="O103" s="25" t="s">
        <v>302</v>
      </c>
      <c r="P103" s="26" t="s">
        <v>232</v>
      </c>
      <c r="Q103" s="27" t="s">
        <v>259</v>
      </c>
      <c r="R103" s="28"/>
      <c r="S103" s="28"/>
      <c r="T103" s="28" t="s">
        <v>2099</v>
      </c>
      <c r="U103" s="45">
        <f t="shared" si="4"/>
        <v>3.28</v>
      </c>
    </row>
    <row r="104" spans="1:23" x14ac:dyDescent="0.25">
      <c r="A104" s="228" t="s">
        <v>1722</v>
      </c>
      <c r="B104" s="30" t="s">
        <v>124</v>
      </c>
      <c r="C104" s="29" t="s">
        <v>1036</v>
      </c>
      <c r="D104" s="30" t="s">
        <v>943</v>
      </c>
      <c r="E104" s="29" t="s">
        <v>2077</v>
      </c>
      <c r="F104" s="29" t="s">
        <v>2078</v>
      </c>
      <c r="G104" s="31">
        <v>44</v>
      </c>
      <c r="H104" s="31">
        <v>23</v>
      </c>
      <c r="I104" s="31">
        <v>51</v>
      </c>
      <c r="J104" s="30" t="s">
        <v>2902</v>
      </c>
      <c r="K104" s="54">
        <v>11</v>
      </c>
      <c r="L104" s="31">
        <v>51</v>
      </c>
      <c r="M104" s="31">
        <v>18</v>
      </c>
      <c r="N104" s="30" t="s">
        <v>2903</v>
      </c>
      <c r="O104" s="25">
        <v>19</v>
      </c>
      <c r="P104" s="26" t="s">
        <v>225</v>
      </c>
      <c r="Q104" s="27" t="s">
        <v>2079</v>
      </c>
      <c r="R104" s="28" t="s">
        <v>601</v>
      </c>
      <c r="S104" s="28"/>
      <c r="T104" s="28" t="s">
        <v>2080</v>
      </c>
      <c r="U104" s="45">
        <f t="shared" si="4"/>
        <v>62.319999999999993</v>
      </c>
    </row>
    <row r="105" spans="1:23" x14ac:dyDescent="0.25">
      <c r="A105" s="228" t="s">
        <v>1723</v>
      </c>
      <c r="B105" s="30" t="s">
        <v>124</v>
      </c>
      <c r="C105" s="29" t="s">
        <v>1036</v>
      </c>
      <c r="D105" s="30" t="s">
        <v>943</v>
      </c>
      <c r="E105" s="29" t="s">
        <v>2074</v>
      </c>
      <c r="F105" s="29" t="s">
        <v>2075</v>
      </c>
      <c r="G105" s="31">
        <v>44</v>
      </c>
      <c r="H105" s="31">
        <v>22</v>
      </c>
      <c r="I105" s="31">
        <v>0</v>
      </c>
      <c r="J105" s="30" t="s">
        <v>2902</v>
      </c>
      <c r="K105" s="54">
        <v>12</v>
      </c>
      <c r="L105" s="31">
        <v>13</v>
      </c>
      <c r="M105" s="31">
        <v>24</v>
      </c>
      <c r="N105" s="30" t="s">
        <v>2903</v>
      </c>
      <c r="O105" s="25">
        <v>0</v>
      </c>
      <c r="P105" s="26" t="s">
        <v>191</v>
      </c>
      <c r="Q105" s="27" t="s">
        <v>2862</v>
      </c>
      <c r="R105" s="28" t="s">
        <v>2570</v>
      </c>
      <c r="S105" s="28"/>
      <c r="T105" s="28" t="s">
        <v>2076</v>
      </c>
      <c r="U105" s="45">
        <f t="shared" si="4"/>
        <v>0</v>
      </c>
    </row>
    <row r="106" spans="1:23" x14ac:dyDescent="0.25">
      <c r="A106" s="228" t="s">
        <v>1724</v>
      </c>
      <c r="B106" s="30" t="s">
        <v>70</v>
      </c>
      <c r="C106" s="29" t="s">
        <v>1036</v>
      </c>
      <c r="D106" s="30" t="s">
        <v>943</v>
      </c>
      <c r="E106" s="29" t="s">
        <v>2157</v>
      </c>
      <c r="F106" s="29" t="s">
        <v>2158</v>
      </c>
      <c r="G106" s="31">
        <v>44</v>
      </c>
      <c r="H106" s="31">
        <v>20</v>
      </c>
      <c r="I106" s="31">
        <v>8</v>
      </c>
      <c r="J106" s="30" t="s">
        <v>2902</v>
      </c>
      <c r="K106" s="54">
        <v>11</v>
      </c>
      <c r="L106" s="31">
        <v>55</v>
      </c>
      <c r="M106" s="31">
        <v>40</v>
      </c>
      <c r="N106" s="30" t="s">
        <v>2903</v>
      </c>
      <c r="O106" s="25">
        <v>36</v>
      </c>
      <c r="P106" s="26" t="s">
        <v>342</v>
      </c>
      <c r="Q106" s="27" t="s">
        <v>2159</v>
      </c>
      <c r="R106" s="28" t="s">
        <v>2569</v>
      </c>
      <c r="S106" s="28"/>
      <c r="T106" s="28" t="s">
        <v>2160</v>
      </c>
      <c r="U106" s="45">
        <f t="shared" si="4"/>
        <v>118.08</v>
      </c>
    </row>
    <row r="107" spans="1:23" s="247" customFormat="1" x14ac:dyDescent="0.25">
      <c r="A107" s="228" t="s">
        <v>1726</v>
      </c>
      <c r="B107" s="30" t="s">
        <v>128</v>
      </c>
      <c r="C107" s="29" t="s">
        <v>1036</v>
      </c>
      <c r="D107" s="30" t="s">
        <v>944</v>
      </c>
      <c r="E107" s="29" t="s">
        <v>2093</v>
      </c>
      <c r="F107" s="29" t="s">
        <v>2092</v>
      </c>
      <c r="G107" s="31">
        <v>44</v>
      </c>
      <c r="H107" s="31">
        <v>50</v>
      </c>
      <c r="I107" s="31">
        <v>48</v>
      </c>
      <c r="J107" s="30" t="s">
        <v>2902</v>
      </c>
      <c r="K107" s="54">
        <v>10</v>
      </c>
      <c r="L107" s="31">
        <v>30</v>
      </c>
      <c r="M107" s="31">
        <v>18</v>
      </c>
      <c r="N107" s="30" t="s">
        <v>2903</v>
      </c>
      <c r="O107" s="25">
        <v>30</v>
      </c>
      <c r="P107" s="26" t="s">
        <v>187</v>
      </c>
      <c r="Q107" s="27" t="s">
        <v>145</v>
      </c>
      <c r="R107" s="28"/>
      <c r="S107" s="28"/>
      <c r="T107" s="28" t="s">
        <v>2094</v>
      </c>
      <c r="U107" s="45">
        <f t="shared" si="4"/>
        <v>98.399999999999991</v>
      </c>
      <c r="V107" s="8"/>
      <c r="W107" s="8"/>
    </row>
    <row r="108" spans="1:23" x14ac:dyDescent="0.25">
      <c r="A108" s="228" t="s">
        <v>1727</v>
      </c>
      <c r="B108" s="30" t="s">
        <v>124</v>
      </c>
      <c r="C108" s="29" t="s">
        <v>1036</v>
      </c>
      <c r="D108" s="30" t="s">
        <v>944</v>
      </c>
      <c r="E108" s="29" t="s">
        <v>661</v>
      </c>
      <c r="F108" s="29" t="s">
        <v>1950</v>
      </c>
      <c r="G108" s="31">
        <v>44</v>
      </c>
      <c r="H108" s="31">
        <v>41</v>
      </c>
      <c r="I108" s="31">
        <v>54</v>
      </c>
      <c r="J108" s="30" t="s">
        <v>2902</v>
      </c>
      <c r="K108" s="54">
        <v>10</v>
      </c>
      <c r="L108" s="31">
        <v>39</v>
      </c>
      <c r="M108" s="31">
        <v>46</v>
      </c>
      <c r="N108" s="30" t="s">
        <v>2903</v>
      </c>
      <c r="O108" s="25" t="s">
        <v>662</v>
      </c>
      <c r="P108" s="26" t="s">
        <v>342</v>
      </c>
      <c r="Q108" s="27" t="s">
        <v>663</v>
      </c>
      <c r="R108" s="28" t="s">
        <v>664</v>
      </c>
      <c r="S108" s="28"/>
      <c r="T108" s="28" t="s">
        <v>665</v>
      </c>
      <c r="U108" s="45">
        <f t="shared" ref="U108:U139" si="5">IF(O108&lt;&gt;"",O108*3.28,"")</f>
        <v>154.16</v>
      </c>
    </row>
    <row r="109" spans="1:23" x14ac:dyDescent="0.25">
      <c r="A109" s="228" t="s">
        <v>1756</v>
      </c>
      <c r="B109" s="30" t="s">
        <v>70</v>
      </c>
      <c r="C109" s="29" t="s">
        <v>1036</v>
      </c>
      <c r="D109" s="30" t="s">
        <v>945</v>
      </c>
      <c r="E109" s="29" t="s">
        <v>2164</v>
      </c>
      <c r="F109" s="29" t="s">
        <v>1949</v>
      </c>
      <c r="G109" s="31">
        <v>43</v>
      </c>
      <c r="H109" s="31">
        <v>53</v>
      </c>
      <c r="I109" s="31">
        <v>0</v>
      </c>
      <c r="J109" s="30" t="s">
        <v>2902</v>
      </c>
      <c r="K109" s="54">
        <v>12</v>
      </c>
      <c r="L109" s="31">
        <v>35</v>
      </c>
      <c r="M109" s="31">
        <v>0</v>
      </c>
      <c r="N109" s="30" t="s">
        <v>2903</v>
      </c>
      <c r="O109" s="25"/>
      <c r="P109" s="26" t="s">
        <v>247</v>
      </c>
      <c r="Q109" s="27" t="s">
        <v>1980</v>
      </c>
      <c r="R109" s="28"/>
      <c r="S109" s="28"/>
      <c r="T109" s="28" t="s">
        <v>1960</v>
      </c>
      <c r="U109" s="45" t="str">
        <f t="shared" si="5"/>
        <v/>
      </c>
    </row>
    <row r="110" spans="1:23" x14ac:dyDescent="0.25">
      <c r="A110" s="228" t="s">
        <v>1757</v>
      </c>
      <c r="B110" s="30" t="s">
        <v>124</v>
      </c>
      <c r="C110" s="29" t="s">
        <v>1036</v>
      </c>
      <c r="D110" s="30" t="s">
        <v>945</v>
      </c>
      <c r="E110" s="29" t="s">
        <v>2081</v>
      </c>
      <c r="F110" s="29" t="s">
        <v>2082</v>
      </c>
      <c r="G110" s="31">
        <v>44</v>
      </c>
      <c r="H110" s="31">
        <v>1</v>
      </c>
      <c r="I110" s="31">
        <v>15</v>
      </c>
      <c r="J110" s="30" t="s">
        <v>2902</v>
      </c>
      <c r="K110" s="54">
        <v>12</v>
      </c>
      <c r="L110" s="31">
        <v>36</v>
      </c>
      <c r="M110" s="31">
        <v>44</v>
      </c>
      <c r="N110" s="30" t="s">
        <v>2903</v>
      </c>
      <c r="O110" s="25">
        <v>13</v>
      </c>
      <c r="P110" s="26" t="s">
        <v>247</v>
      </c>
      <c r="Q110" s="27" t="s">
        <v>2863</v>
      </c>
      <c r="R110" s="28" t="s">
        <v>2561</v>
      </c>
      <c r="S110" s="28"/>
      <c r="T110" s="28" t="s">
        <v>2083</v>
      </c>
      <c r="U110" s="45">
        <f t="shared" si="5"/>
        <v>42.64</v>
      </c>
    </row>
    <row r="111" spans="1:23" x14ac:dyDescent="0.25">
      <c r="A111" s="228" t="s">
        <v>1758</v>
      </c>
      <c r="B111" s="30" t="s">
        <v>128</v>
      </c>
      <c r="C111" s="29" t="s">
        <v>1036</v>
      </c>
      <c r="D111" s="30" t="s">
        <v>945</v>
      </c>
      <c r="E111" s="29" t="s">
        <v>2171</v>
      </c>
      <c r="F111" s="29" t="s">
        <v>2171</v>
      </c>
      <c r="G111" s="31">
        <v>44</v>
      </c>
      <c r="H111" s="31">
        <v>2</v>
      </c>
      <c r="I111" s="31">
        <v>14</v>
      </c>
      <c r="J111" s="30" t="s">
        <v>2902</v>
      </c>
      <c r="K111" s="54">
        <v>12</v>
      </c>
      <c r="L111" s="31">
        <v>24</v>
      </c>
      <c r="M111" s="31">
        <v>53</v>
      </c>
      <c r="N111" s="30" t="s">
        <v>2903</v>
      </c>
      <c r="O111" s="25" t="s">
        <v>425</v>
      </c>
      <c r="P111" s="26" t="s">
        <v>279</v>
      </c>
      <c r="Q111" s="27" t="s">
        <v>2184</v>
      </c>
      <c r="R111" s="28"/>
      <c r="S111" s="28"/>
      <c r="T111" s="28" t="s">
        <v>1961</v>
      </c>
      <c r="U111" s="45">
        <f t="shared" si="5"/>
        <v>295.2</v>
      </c>
    </row>
    <row r="112" spans="1:23" x14ac:dyDescent="0.25">
      <c r="A112" s="228" t="s">
        <v>1763</v>
      </c>
      <c r="B112" s="30" t="s">
        <v>128</v>
      </c>
      <c r="C112" s="29" t="s">
        <v>1036</v>
      </c>
      <c r="D112" s="30" t="s">
        <v>699</v>
      </c>
      <c r="E112" s="29" t="s">
        <v>9</v>
      </c>
      <c r="F112" s="29" t="s">
        <v>1996</v>
      </c>
      <c r="G112" s="31">
        <v>43</v>
      </c>
      <c r="H112" s="31">
        <v>57</v>
      </c>
      <c r="I112" s="31">
        <v>2</v>
      </c>
      <c r="J112" s="30" t="s">
        <v>2902</v>
      </c>
      <c r="K112" s="54">
        <v>12</v>
      </c>
      <c r="L112" s="31">
        <v>30</v>
      </c>
      <c r="M112" s="31">
        <v>6</v>
      </c>
      <c r="N112" s="30" t="s">
        <v>2903</v>
      </c>
      <c r="O112" s="25" t="s">
        <v>309</v>
      </c>
      <c r="P112" s="26" t="s">
        <v>275</v>
      </c>
      <c r="Q112" s="27" t="s">
        <v>310</v>
      </c>
      <c r="R112" s="28" t="s">
        <v>2563</v>
      </c>
      <c r="S112" s="28"/>
      <c r="T112" s="28" t="s">
        <v>2100</v>
      </c>
      <c r="U112" s="45">
        <f t="shared" si="5"/>
        <v>787.19999999999993</v>
      </c>
    </row>
    <row r="113" spans="1:23" x14ac:dyDescent="0.25">
      <c r="A113" s="228" t="s">
        <v>1528</v>
      </c>
      <c r="B113" s="30" t="s">
        <v>124</v>
      </c>
      <c r="C113" s="29" t="s">
        <v>2932</v>
      </c>
      <c r="D113" s="30" t="s">
        <v>946</v>
      </c>
      <c r="E113" s="29" t="s">
        <v>1145</v>
      </c>
      <c r="F113" s="29" t="s">
        <v>1146</v>
      </c>
      <c r="G113" s="31">
        <v>45</v>
      </c>
      <c r="H113" s="31">
        <v>54</v>
      </c>
      <c r="I113" s="31">
        <v>22</v>
      </c>
      <c r="J113" s="30" t="s">
        <v>2902</v>
      </c>
      <c r="K113" s="54">
        <v>13</v>
      </c>
      <c r="L113" s="31">
        <v>35</v>
      </c>
      <c r="M113" s="31">
        <v>58</v>
      </c>
      <c r="N113" s="30" t="s">
        <v>2903</v>
      </c>
      <c r="O113" s="25">
        <v>60</v>
      </c>
      <c r="P113" s="26" t="s">
        <v>204</v>
      </c>
      <c r="Q113" s="27" t="s">
        <v>2509</v>
      </c>
      <c r="R113" s="28" t="s">
        <v>2579</v>
      </c>
      <c r="S113" s="28"/>
      <c r="T113" s="28" t="s">
        <v>1147</v>
      </c>
      <c r="U113" s="45">
        <f t="shared" si="5"/>
        <v>196.79999999999998</v>
      </c>
    </row>
    <row r="114" spans="1:23" x14ac:dyDescent="0.25">
      <c r="A114" s="228" t="s">
        <v>1529</v>
      </c>
      <c r="B114" s="30" t="s">
        <v>124</v>
      </c>
      <c r="C114" s="29" t="s">
        <v>2932</v>
      </c>
      <c r="D114" s="30" t="s">
        <v>946</v>
      </c>
      <c r="E114" s="29" t="s">
        <v>1145</v>
      </c>
      <c r="F114" s="29" t="s">
        <v>1151</v>
      </c>
      <c r="G114" s="31">
        <v>45</v>
      </c>
      <c r="H114" s="31">
        <v>49</v>
      </c>
      <c r="I114" s="31">
        <v>36</v>
      </c>
      <c r="J114" s="30" t="s">
        <v>2902</v>
      </c>
      <c r="K114" s="54">
        <v>13</v>
      </c>
      <c r="L114" s="31">
        <v>28</v>
      </c>
      <c r="M114" s="31">
        <v>20</v>
      </c>
      <c r="N114" s="30" t="s">
        <v>2903</v>
      </c>
      <c r="O114" s="25">
        <v>12</v>
      </c>
      <c r="P114" s="26" t="s">
        <v>204</v>
      </c>
      <c r="Q114" s="27" t="s">
        <v>2864</v>
      </c>
      <c r="R114" s="28" t="s">
        <v>2583</v>
      </c>
      <c r="S114" s="28"/>
      <c r="T114" s="28" t="s">
        <v>1152</v>
      </c>
      <c r="U114" s="45">
        <f t="shared" si="5"/>
        <v>39.36</v>
      </c>
    </row>
    <row r="115" spans="1:23" x14ac:dyDescent="0.25">
      <c r="A115" s="228" t="s">
        <v>1689</v>
      </c>
      <c r="B115" s="30" t="s">
        <v>70</v>
      </c>
      <c r="C115" s="29" t="s">
        <v>2932</v>
      </c>
      <c r="D115" s="30" t="s">
        <v>947</v>
      </c>
      <c r="E115" s="29" t="s">
        <v>1167</v>
      </c>
      <c r="F115" s="29" t="s">
        <v>1167</v>
      </c>
      <c r="G115" s="31">
        <v>45</v>
      </c>
      <c r="H115" s="31">
        <v>50</v>
      </c>
      <c r="I115" s="31">
        <v>13</v>
      </c>
      <c r="J115" s="30" t="s">
        <v>2902</v>
      </c>
      <c r="K115" s="54">
        <v>12</v>
      </c>
      <c r="L115" s="31">
        <v>53</v>
      </c>
      <c r="M115" s="31">
        <v>40</v>
      </c>
      <c r="N115" s="30" t="s">
        <v>2903</v>
      </c>
      <c r="O115" s="25">
        <v>10</v>
      </c>
      <c r="P115" s="26" t="s">
        <v>251</v>
      </c>
      <c r="Q115" s="27" t="s">
        <v>1168</v>
      </c>
      <c r="R115" s="28"/>
      <c r="S115" s="28"/>
      <c r="T115" s="28" t="s">
        <v>1177</v>
      </c>
      <c r="U115" s="45">
        <f t="shared" si="5"/>
        <v>32.799999999999997</v>
      </c>
    </row>
    <row r="116" spans="1:23" x14ac:dyDescent="0.25">
      <c r="A116" s="228" t="s">
        <v>1690</v>
      </c>
      <c r="B116" s="30" t="s">
        <v>70</v>
      </c>
      <c r="C116" s="29" t="s">
        <v>2932</v>
      </c>
      <c r="D116" s="30" t="s">
        <v>947</v>
      </c>
      <c r="E116" s="29" t="s">
        <v>545</v>
      </c>
      <c r="F116" s="29" t="s">
        <v>545</v>
      </c>
      <c r="G116" s="31">
        <v>45</v>
      </c>
      <c r="H116" s="31">
        <v>49</v>
      </c>
      <c r="I116" s="31">
        <v>55</v>
      </c>
      <c r="J116" s="30" t="s">
        <v>2902</v>
      </c>
      <c r="K116" s="54">
        <v>12</v>
      </c>
      <c r="L116" s="31">
        <v>35</v>
      </c>
      <c r="M116" s="31">
        <v>49</v>
      </c>
      <c r="N116" s="30" t="s">
        <v>2903</v>
      </c>
      <c r="O116" s="25"/>
      <c r="P116" s="26" t="s">
        <v>206</v>
      </c>
      <c r="Q116" s="27" t="s">
        <v>546</v>
      </c>
      <c r="R116" s="28"/>
      <c r="S116" s="28"/>
      <c r="T116" s="28" t="s">
        <v>1178</v>
      </c>
      <c r="U116" s="45" t="str">
        <f t="shared" si="5"/>
        <v/>
      </c>
    </row>
    <row r="117" spans="1:23" s="247" customFormat="1" x14ac:dyDescent="0.25">
      <c r="A117" s="228" t="s">
        <v>1691</v>
      </c>
      <c r="B117" s="30" t="s">
        <v>128</v>
      </c>
      <c r="C117" s="29" t="s">
        <v>2932</v>
      </c>
      <c r="D117" s="30" t="s">
        <v>947</v>
      </c>
      <c r="E117" s="29" t="s">
        <v>3062</v>
      </c>
      <c r="F117" s="29" t="s">
        <v>3063</v>
      </c>
      <c r="G117" s="31">
        <v>45</v>
      </c>
      <c r="H117" s="31">
        <v>59</v>
      </c>
      <c r="I117" s="31">
        <v>31</v>
      </c>
      <c r="J117" s="30" t="s">
        <v>2902</v>
      </c>
      <c r="K117" s="54">
        <v>12</v>
      </c>
      <c r="L117" s="31">
        <v>39</v>
      </c>
      <c r="M117" s="31">
        <v>27</v>
      </c>
      <c r="N117" s="30" t="s">
        <v>2903</v>
      </c>
      <c r="O117" s="25" t="s">
        <v>253</v>
      </c>
      <c r="P117" s="26" t="s">
        <v>206</v>
      </c>
      <c r="Q117" s="27" t="s">
        <v>520</v>
      </c>
      <c r="R117" s="28" t="s">
        <v>2562</v>
      </c>
      <c r="S117" s="28"/>
      <c r="T117" s="28" t="s">
        <v>521</v>
      </c>
      <c r="U117" s="45">
        <f t="shared" si="5"/>
        <v>213.2</v>
      </c>
      <c r="V117" s="8"/>
      <c r="W117" s="8"/>
    </row>
    <row r="118" spans="1:23" s="247" customFormat="1" x14ac:dyDescent="0.25">
      <c r="A118" s="228" t="s">
        <v>1692</v>
      </c>
      <c r="B118" s="30" t="s">
        <v>70</v>
      </c>
      <c r="C118" s="29" t="s">
        <v>2932</v>
      </c>
      <c r="D118" s="30" t="s">
        <v>947</v>
      </c>
      <c r="E118" s="29" t="s">
        <v>523</v>
      </c>
      <c r="F118" s="29" t="s">
        <v>524</v>
      </c>
      <c r="G118" s="31">
        <v>45</v>
      </c>
      <c r="H118" s="31">
        <v>52</v>
      </c>
      <c r="I118" s="31">
        <v>58</v>
      </c>
      <c r="J118" s="30" t="s">
        <v>2902</v>
      </c>
      <c r="K118" s="54">
        <v>12</v>
      </c>
      <c r="L118" s="31">
        <v>47</v>
      </c>
      <c r="M118" s="31">
        <v>31</v>
      </c>
      <c r="N118" s="30" t="s">
        <v>2903</v>
      </c>
      <c r="O118" s="25" t="s">
        <v>257</v>
      </c>
      <c r="P118" s="26" t="s">
        <v>456</v>
      </c>
      <c r="Q118" s="27" t="s">
        <v>207</v>
      </c>
      <c r="R118" s="28" t="s">
        <v>171</v>
      </c>
      <c r="S118" s="28"/>
      <c r="T118" s="28" t="s">
        <v>1179</v>
      </c>
      <c r="U118" s="45">
        <f t="shared" si="5"/>
        <v>196.79999999999998</v>
      </c>
      <c r="V118" s="8"/>
      <c r="W118" s="8"/>
    </row>
    <row r="119" spans="1:23" x14ac:dyDescent="0.25">
      <c r="A119" s="228" t="s">
        <v>1846</v>
      </c>
      <c r="B119" s="30" t="s">
        <v>70</v>
      </c>
      <c r="C119" s="29" t="s">
        <v>2932</v>
      </c>
      <c r="D119" s="30" t="s">
        <v>948</v>
      </c>
      <c r="E119" s="29" t="s">
        <v>1181</v>
      </c>
      <c r="F119" s="29" t="s">
        <v>1182</v>
      </c>
      <c r="G119" s="31">
        <v>45</v>
      </c>
      <c r="H119" s="31">
        <v>55</v>
      </c>
      <c r="I119" s="31">
        <v>24</v>
      </c>
      <c r="J119" s="30" t="s">
        <v>2902</v>
      </c>
      <c r="K119" s="54">
        <v>13</v>
      </c>
      <c r="L119" s="31">
        <v>2</v>
      </c>
      <c r="M119" s="31">
        <v>5</v>
      </c>
      <c r="N119" s="30" t="s">
        <v>2903</v>
      </c>
      <c r="O119" s="25">
        <v>30</v>
      </c>
      <c r="P119" s="26" t="s">
        <v>258</v>
      </c>
      <c r="Q119" s="27" t="s">
        <v>400</v>
      </c>
      <c r="R119" s="28"/>
      <c r="S119" s="28"/>
      <c r="T119" s="28" t="s">
        <v>1183</v>
      </c>
      <c r="U119" s="45">
        <f t="shared" si="5"/>
        <v>98.399999999999991</v>
      </c>
    </row>
    <row r="120" spans="1:23" x14ac:dyDescent="0.25">
      <c r="A120" s="228" t="s">
        <v>1847</v>
      </c>
      <c r="B120" s="30" t="s">
        <v>70</v>
      </c>
      <c r="C120" s="29" t="s">
        <v>2932</v>
      </c>
      <c r="D120" s="30" t="s">
        <v>948</v>
      </c>
      <c r="E120" s="29" t="s">
        <v>1184</v>
      </c>
      <c r="F120" s="29" t="s">
        <v>1185</v>
      </c>
      <c r="G120" s="31">
        <v>46</v>
      </c>
      <c r="H120" s="31">
        <v>3</v>
      </c>
      <c r="I120" s="31">
        <v>21</v>
      </c>
      <c r="J120" s="30" t="s">
        <v>2902</v>
      </c>
      <c r="K120" s="54">
        <v>13</v>
      </c>
      <c r="L120" s="31">
        <v>25</v>
      </c>
      <c r="M120" s="31">
        <v>42</v>
      </c>
      <c r="N120" s="30" t="s">
        <v>2903</v>
      </c>
      <c r="O120" s="25">
        <v>100</v>
      </c>
      <c r="P120" s="26" t="s">
        <v>206</v>
      </c>
      <c r="Q120" s="27" t="s">
        <v>145</v>
      </c>
      <c r="R120" s="28"/>
      <c r="S120" s="28"/>
      <c r="T120" s="28" t="s">
        <v>1186</v>
      </c>
      <c r="U120" s="45">
        <f t="shared" si="5"/>
        <v>328</v>
      </c>
    </row>
    <row r="121" spans="1:23" x14ac:dyDescent="0.25">
      <c r="A121" s="228" t="s">
        <v>1848</v>
      </c>
      <c r="B121" s="30" t="s">
        <v>70</v>
      </c>
      <c r="C121" s="29" t="s">
        <v>2932</v>
      </c>
      <c r="D121" s="30" t="s">
        <v>948</v>
      </c>
      <c r="E121" s="29" t="s">
        <v>42</v>
      </c>
      <c r="F121" s="29" t="s">
        <v>43</v>
      </c>
      <c r="G121" s="31">
        <v>45</v>
      </c>
      <c r="H121" s="31">
        <v>59</v>
      </c>
      <c r="I121" s="31">
        <v>58</v>
      </c>
      <c r="J121" s="30" t="s">
        <v>2902</v>
      </c>
      <c r="K121" s="54">
        <v>12</v>
      </c>
      <c r="L121" s="31">
        <v>55</v>
      </c>
      <c r="M121" s="31">
        <v>50</v>
      </c>
      <c r="N121" s="30" t="s">
        <v>2903</v>
      </c>
      <c r="O121" s="25" t="s">
        <v>504</v>
      </c>
      <c r="P121" s="26" t="s">
        <v>267</v>
      </c>
      <c r="Q121" s="27" t="s">
        <v>264</v>
      </c>
      <c r="R121" s="28"/>
      <c r="S121" s="28"/>
      <c r="T121" s="28" t="s">
        <v>1195</v>
      </c>
      <c r="U121" s="45">
        <f t="shared" si="5"/>
        <v>147.6</v>
      </c>
    </row>
    <row r="122" spans="1:23" x14ac:dyDescent="0.25">
      <c r="A122" s="228" t="s">
        <v>1849</v>
      </c>
      <c r="B122" s="30" t="s">
        <v>128</v>
      </c>
      <c r="C122" s="29" t="s">
        <v>2932</v>
      </c>
      <c r="D122" s="30" t="s">
        <v>948</v>
      </c>
      <c r="E122" s="29" t="s">
        <v>1157</v>
      </c>
      <c r="F122" s="29" t="s">
        <v>1157</v>
      </c>
      <c r="G122" s="31">
        <v>46</v>
      </c>
      <c r="H122" s="31">
        <v>25</v>
      </c>
      <c r="I122" s="31">
        <v>0</v>
      </c>
      <c r="J122" s="30" t="s">
        <v>2902</v>
      </c>
      <c r="K122" s="54">
        <v>12</v>
      </c>
      <c r="L122" s="31">
        <v>53</v>
      </c>
      <c r="M122" s="31">
        <v>0</v>
      </c>
      <c r="N122" s="30" t="s">
        <v>2903</v>
      </c>
      <c r="O122" s="25">
        <v>320</v>
      </c>
      <c r="P122" s="26" t="s">
        <v>251</v>
      </c>
      <c r="Q122" s="27" t="s">
        <v>1158</v>
      </c>
      <c r="R122" s="28"/>
      <c r="S122" s="28"/>
      <c r="T122" s="28" t="s">
        <v>1159</v>
      </c>
      <c r="U122" s="45">
        <f t="shared" si="5"/>
        <v>1049.5999999999999</v>
      </c>
    </row>
    <row r="123" spans="1:23" x14ac:dyDescent="0.25">
      <c r="A123" s="228" t="s">
        <v>1850</v>
      </c>
      <c r="B123" s="30" t="s">
        <v>128</v>
      </c>
      <c r="C123" s="29" t="s">
        <v>2932</v>
      </c>
      <c r="D123" s="30" t="s">
        <v>948</v>
      </c>
      <c r="E123" s="29" t="s">
        <v>2576</v>
      </c>
      <c r="F123" s="29" t="s">
        <v>1336</v>
      </c>
      <c r="G123" s="31">
        <v>45</v>
      </c>
      <c r="H123" s="31">
        <v>50</v>
      </c>
      <c r="I123" s="31">
        <v>0</v>
      </c>
      <c r="J123" s="30" t="s">
        <v>2902</v>
      </c>
      <c r="K123" s="54">
        <v>13</v>
      </c>
      <c r="L123" s="31">
        <v>1</v>
      </c>
      <c r="M123" s="31">
        <v>0</v>
      </c>
      <c r="N123" s="30" t="s">
        <v>2903</v>
      </c>
      <c r="O123" s="25">
        <v>10</v>
      </c>
      <c r="P123" s="26" t="s">
        <v>206</v>
      </c>
      <c r="Q123" s="27" t="s">
        <v>2577</v>
      </c>
      <c r="R123" s="28" t="s">
        <v>461</v>
      </c>
      <c r="S123" s="28"/>
      <c r="T123" s="28" t="s">
        <v>2578</v>
      </c>
      <c r="U123" s="45">
        <f t="shared" si="5"/>
        <v>32.799999999999997</v>
      </c>
    </row>
    <row r="124" spans="1:23" x14ac:dyDescent="0.25">
      <c r="A124" s="228" t="s">
        <v>1851</v>
      </c>
      <c r="B124" s="30" t="s">
        <v>70</v>
      </c>
      <c r="C124" s="29" t="s">
        <v>2932</v>
      </c>
      <c r="D124" s="30" t="s">
        <v>948</v>
      </c>
      <c r="E124" s="29" t="s">
        <v>2580</v>
      </c>
      <c r="F124" s="29" t="s">
        <v>2581</v>
      </c>
      <c r="G124" s="31">
        <v>45</v>
      </c>
      <c r="H124" s="31">
        <v>58</v>
      </c>
      <c r="I124" s="31">
        <v>35</v>
      </c>
      <c r="J124" s="30" t="s">
        <v>2902</v>
      </c>
      <c r="K124" s="54">
        <v>13</v>
      </c>
      <c r="L124" s="31">
        <v>21</v>
      </c>
      <c r="M124" s="31">
        <v>10</v>
      </c>
      <c r="N124" s="30" t="s">
        <v>2903</v>
      </c>
      <c r="O124" s="25">
        <v>6</v>
      </c>
      <c r="P124" s="26" t="s">
        <v>275</v>
      </c>
      <c r="Q124" s="27" t="s">
        <v>241</v>
      </c>
      <c r="R124" s="28"/>
      <c r="S124" s="28"/>
      <c r="T124" s="28" t="s">
        <v>2582</v>
      </c>
      <c r="U124" s="45">
        <f t="shared" si="5"/>
        <v>19.68</v>
      </c>
    </row>
    <row r="125" spans="1:23" x14ac:dyDescent="0.25">
      <c r="A125" s="228" t="s">
        <v>1852</v>
      </c>
      <c r="B125" s="30" t="s">
        <v>70</v>
      </c>
      <c r="C125" s="29" t="s">
        <v>2932</v>
      </c>
      <c r="D125" s="30" t="s">
        <v>948</v>
      </c>
      <c r="E125" s="29" t="s">
        <v>590</v>
      </c>
      <c r="F125" s="29" t="s">
        <v>1180</v>
      </c>
      <c r="G125" s="31">
        <v>45</v>
      </c>
      <c r="H125" s="31">
        <v>56</v>
      </c>
      <c r="I125" s="31">
        <v>42</v>
      </c>
      <c r="J125" s="30" t="s">
        <v>2902</v>
      </c>
      <c r="K125" s="54">
        <v>13</v>
      </c>
      <c r="L125" s="31">
        <v>12</v>
      </c>
      <c r="M125" s="31">
        <v>30</v>
      </c>
      <c r="N125" s="30" t="s">
        <v>2903</v>
      </c>
      <c r="O125" s="25">
        <v>40</v>
      </c>
      <c r="P125" s="26" t="s">
        <v>275</v>
      </c>
      <c r="Q125" s="27" t="s">
        <v>591</v>
      </c>
      <c r="R125" s="28"/>
      <c r="S125" s="28"/>
      <c r="U125" s="45">
        <f t="shared" si="5"/>
        <v>131.19999999999999</v>
      </c>
    </row>
    <row r="126" spans="1:23" x14ac:dyDescent="0.25">
      <c r="A126" s="228" t="s">
        <v>1853</v>
      </c>
      <c r="B126" s="30" t="s">
        <v>128</v>
      </c>
      <c r="C126" s="29" t="s">
        <v>2932</v>
      </c>
      <c r="D126" s="30" t="s">
        <v>948</v>
      </c>
      <c r="E126" s="29" t="s">
        <v>1160</v>
      </c>
      <c r="F126" s="29" t="s">
        <v>1161</v>
      </c>
      <c r="G126" s="31">
        <v>46</v>
      </c>
      <c r="H126" s="31">
        <v>14</v>
      </c>
      <c r="I126" s="31">
        <v>5</v>
      </c>
      <c r="J126" s="30" t="s">
        <v>2902</v>
      </c>
      <c r="K126" s="54">
        <v>13</v>
      </c>
      <c r="L126" s="31">
        <v>4</v>
      </c>
      <c r="M126" s="31">
        <v>14</v>
      </c>
      <c r="N126" s="30" t="s">
        <v>2903</v>
      </c>
      <c r="O126" s="25">
        <v>170</v>
      </c>
      <c r="P126" s="26" t="s">
        <v>225</v>
      </c>
      <c r="Q126" s="27" t="s">
        <v>1162</v>
      </c>
      <c r="R126" s="28" t="s">
        <v>485</v>
      </c>
      <c r="S126" s="28"/>
      <c r="T126" s="28" t="s">
        <v>1163</v>
      </c>
      <c r="U126" s="45">
        <f t="shared" si="5"/>
        <v>557.6</v>
      </c>
    </row>
    <row r="127" spans="1:23" x14ac:dyDescent="0.25">
      <c r="A127" s="228" t="s">
        <v>1854</v>
      </c>
      <c r="B127" s="30" t="s">
        <v>128</v>
      </c>
      <c r="C127" s="29" t="s">
        <v>2932</v>
      </c>
      <c r="D127" s="30" t="s">
        <v>948</v>
      </c>
      <c r="E127" s="29" t="s">
        <v>44</v>
      </c>
      <c r="F127" s="29" t="s">
        <v>2001</v>
      </c>
      <c r="G127" s="31">
        <v>45</v>
      </c>
      <c r="H127" s="31">
        <v>47</v>
      </c>
      <c r="I127" s="31">
        <v>0</v>
      </c>
      <c r="J127" s="30" t="s">
        <v>2902</v>
      </c>
      <c r="K127" s="54">
        <v>13</v>
      </c>
      <c r="L127" s="31">
        <v>4</v>
      </c>
      <c r="M127" s="31">
        <v>30</v>
      </c>
      <c r="N127" s="30" t="s">
        <v>2903</v>
      </c>
      <c r="O127" s="25">
        <v>2</v>
      </c>
      <c r="P127" s="26" t="s">
        <v>232</v>
      </c>
      <c r="Q127" s="27" t="s">
        <v>290</v>
      </c>
      <c r="R127" s="28" t="s">
        <v>171</v>
      </c>
      <c r="S127" s="28"/>
      <c r="T127" s="28" t="s">
        <v>291</v>
      </c>
      <c r="U127" s="45">
        <f t="shared" si="5"/>
        <v>6.56</v>
      </c>
    </row>
    <row r="128" spans="1:23" x14ac:dyDescent="0.25">
      <c r="A128" s="228" t="s">
        <v>1855</v>
      </c>
      <c r="B128" s="30" t="s">
        <v>70</v>
      </c>
      <c r="C128" s="29" t="s">
        <v>2932</v>
      </c>
      <c r="D128" s="30" t="s">
        <v>948</v>
      </c>
      <c r="E128" s="29" t="s">
        <v>1187</v>
      </c>
      <c r="F128" s="29" t="s">
        <v>1188</v>
      </c>
      <c r="G128" s="31">
        <v>45</v>
      </c>
      <c r="H128" s="31">
        <v>59</v>
      </c>
      <c r="I128" s="31">
        <v>0</v>
      </c>
      <c r="J128" s="30" t="s">
        <v>2902</v>
      </c>
      <c r="K128" s="54">
        <v>13</v>
      </c>
      <c r="L128" s="31">
        <v>18</v>
      </c>
      <c r="M128" s="31">
        <v>20</v>
      </c>
      <c r="N128" s="30" t="s">
        <v>2903</v>
      </c>
      <c r="O128" s="25">
        <v>30</v>
      </c>
      <c r="P128" s="26" t="s">
        <v>232</v>
      </c>
      <c r="Q128" s="27" t="s">
        <v>141</v>
      </c>
      <c r="R128" s="28"/>
      <c r="S128" s="28"/>
      <c r="T128" s="28" t="s">
        <v>1189</v>
      </c>
      <c r="U128" s="45">
        <f t="shared" si="5"/>
        <v>98.399999999999991</v>
      </c>
    </row>
    <row r="129" spans="1:23" x14ac:dyDescent="0.25">
      <c r="A129" s="228" t="s">
        <v>1856</v>
      </c>
      <c r="B129" s="30" t="s">
        <v>70</v>
      </c>
      <c r="C129" s="29" t="s">
        <v>2932</v>
      </c>
      <c r="D129" s="30" t="s">
        <v>948</v>
      </c>
      <c r="E129" s="29" t="s">
        <v>674</v>
      </c>
      <c r="F129" s="29" t="s">
        <v>2003</v>
      </c>
      <c r="G129" s="31">
        <v>46</v>
      </c>
      <c r="H129" s="31">
        <v>8</v>
      </c>
      <c r="I129" s="31">
        <v>0</v>
      </c>
      <c r="J129" s="30" t="s">
        <v>2902</v>
      </c>
      <c r="K129" s="54">
        <v>13</v>
      </c>
      <c r="L129" s="31">
        <v>16</v>
      </c>
      <c r="M129" s="31">
        <v>42</v>
      </c>
      <c r="N129" s="30" t="s">
        <v>2903</v>
      </c>
      <c r="O129" s="25" t="s">
        <v>675</v>
      </c>
      <c r="P129" s="26" t="s">
        <v>206</v>
      </c>
      <c r="Q129" s="27" t="s">
        <v>1194</v>
      </c>
      <c r="R129" s="28"/>
      <c r="S129" s="28"/>
      <c r="T129" s="28" t="s">
        <v>2186</v>
      </c>
      <c r="U129" s="45">
        <f t="shared" si="5"/>
        <v>432.96</v>
      </c>
    </row>
    <row r="130" spans="1:23" x14ac:dyDescent="0.25">
      <c r="A130" s="228" t="s">
        <v>1857</v>
      </c>
      <c r="B130" s="30" t="s">
        <v>128</v>
      </c>
      <c r="C130" s="29" t="s">
        <v>2932</v>
      </c>
      <c r="D130" s="30" t="s">
        <v>948</v>
      </c>
      <c r="E130" s="29" t="s">
        <v>45</v>
      </c>
      <c r="F130" s="29" t="s">
        <v>2002</v>
      </c>
      <c r="G130" s="31">
        <v>46</v>
      </c>
      <c r="H130" s="31">
        <v>4</v>
      </c>
      <c r="I130" s="31">
        <v>1</v>
      </c>
      <c r="J130" s="30" t="s">
        <v>2902</v>
      </c>
      <c r="K130" s="54">
        <v>13</v>
      </c>
      <c r="L130" s="31">
        <v>22</v>
      </c>
      <c r="M130" s="31">
        <v>13</v>
      </c>
      <c r="N130" s="30" t="s">
        <v>2903</v>
      </c>
      <c r="O130" s="25" t="s">
        <v>297</v>
      </c>
      <c r="P130" s="26" t="s">
        <v>204</v>
      </c>
      <c r="Q130" s="27" t="s">
        <v>298</v>
      </c>
      <c r="R130" s="28" t="s">
        <v>2575</v>
      </c>
      <c r="S130" s="28"/>
      <c r="T130" s="28" t="s">
        <v>299</v>
      </c>
      <c r="U130" s="45">
        <f t="shared" si="5"/>
        <v>623.19999999999993</v>
      </c>
    </row>
    <row r="131" spans="1:23" x14ac:dyDescent="0.25">
      <c r="A131" s="228" t="s">
        <v>1858</v>
      </c>
      <c r="B131" s="248" t="s">
        <v>124</v>
      </c>
      <c r="C131" s="29" t="s">
        <v>2932</v>
      </c>
      <c r="D131" s="248" t="s">
        <v>948</v>
      </c>
      <c r="E131" s="249" t="s">
        <v>1332</v>
      </c>
      <c r="F131" s="249" t="s">
        <v>1333</v>
      </c>
      <c r="G131" s="250">
        <v>45</v>
      </c>
      <c r="H131" s="250" t="s">
        <v>363</v>
      </c>
      <c r="I131" s="250">
        <v>54</v>
      </c>
      <c r="J131" s="251" t="s">
        <v>2902</v>
      </c>
      <c r="K131" s="252" t="s">
        <v>1334</v>
      </c>
      <c r="L131" s="250" t="s">
        <v>1335</v>
      </c>
      <c r="M131" s="250">
        <v>18</v>
      </c>
      <c r="N131" s="248" t="s">
        <v>2903</v>
      </c>
      <c r="O131" s="253"/>
      <c r="P131" s="260" t="s">
        <v>279</v>
      </c>
      <c r="Q131" s="261"/>
      <c r="R131" s="262"/>
      <c r="S131" s="263"/>
      <c r="T131" s="263"/>
      <c r="U131" s="264" t="str">
        <f t="shared" si="5"/>
        <v/>
      </c>
      <c r="V131" s="259"/>
      <c r="W131" s="259"/>
    </row>
    <row r="132" spans="1:23" x14ac:dyDescent="0.25">
      <c r="A132" s="228" t="s">
        <v>1859</v>
      </c>
      <c r="B132" s="30" t="s">
        <v>70</v>
      </c>
      <c r="C132" s="29" t="s">
        <v>2932</v>
      </c>
      <c r="D132" s="30" t="s">
        <v>948</v>
      </c>
      <c r="E132" s="29" t="s">
        <v>1190</v>
      </c>
      <c r="F132" s="29" t="s">
        <v>1191</v>
      </c>
      <c r="G132" s="31">
        <v>45</v>
      </c>
      <c r="H132" s="31">
        <v>54</v>
      </c>
      <c r="I132" s="31">
        <v>50</v>
      </c>
      <c r="J132" s="30" t="s">
        <v>2902</v>
      </c>
      <c r="K132" s="54">
        <v>13</v>
      </c>
      <c r="L132" s="31">
        <v>22</v>
      </c>
      <c r="M132" s="31">
        <v>22</v>
      </c>
      <c r="N132" s="30" t="s">
        <v>2903</v>
      </c>
      <c r="O132" s="25"/>
      <c r="P132" s="26" t="s">
        <v>275</v>
      </c>
      <c r="Q132" s="27" t="s">
        <v>1192</v>
      </c>
      <c r="R132" s="28"/>
      <c r="S132" s="28"/>
      <c r="T132" s="28" t="s">
        <v>1193</v>
      </c>
      <c r="U132" s="45" t="str">
        <f t="shared" si="5"/>
        <v/>
      </c>
    </row>
    <row r="133" spans="1:23" x14ac:dyDescent="0.25">
      <c r="A133" s="228" t="s">
        <v>1860</v>
      </c>
      <c r="B133" s="30" t="s">
        <v>128</v>
      </c>
      <c r="C133" s="29" t="s">
        <v>2932</v>
      </c>
      <c r="D133" s="30" t="s">
        <v>948</v>
      </c>
      <c r="E133" s="29" t="s">
        <v>1164</v>
      </c>
      <c r="F133" s="29" t="s">
        <v>1165</v>
      </c>
      <c r="G133" s="31">
        <v>45</v>
      </c>
      <c r="H133" s="31">
        <v>55</v>
      </c>
      <c r="I133" s="31">
        <v>50</v>
      </c>
      <c r="J133" s="30" t="s">
        <v>2902</v>
      </c>
      <c r="K133" s="54">
        <v>13</v>
      </c>
      <c r="L133" s="31">
        <v>21</v>
      </c>
      <c r="M133" s="31">
        <v>32</v>
      </c>
      <c r="N133" s="30" t="s">
        <v>2903</v>
      </c>
      <c r="O133" s="25">
        <v>35</v>
      </c>
      <c r="P133" s="26" t="s">
        <v>204</v>
      </c>
      <c r="Q133" s="27" t="s">
        <v>218</v>
      </c>
      <c r="R133" s="28"/>
      <c r="S133" s="28"/>
      <c r="T133" s="28" t="s">
        <v>1166</v>
      </c>
      <c r="U133" s="45">
        <f t="shared" si="5"/>
        <v>114.8</v>
      </c>
    </row>
    <row r="134" spans="1:23" x14ac:dyDescent="0.25">
      <c r="A134" s="228" t="s">
        <v>1861</v>
      </c>
      <c r="B134" s="30" t="s">
        <v>124</v>
      </c>
      <c r="C134" s="29" t="s">
        <v>2932</v>
      </c>
      <c r="D134" s="30" t="s">
        <v>948</v>
      </c>
      <c r="E134" s="29" t="s">
        <v>1153</v>
      </c>
      <c r="F134" s="29" t="s">
        <v>1154</v>
      </c>
      <c r="G134" s="31">
        <v>46</v>
      </c>
      <c r="H134" s="31">
        <v>1</v>
      </c>
      <c r="I134" s="31">
        <v>53</v>
      </c>
      <c r="J134" s="30" t="s">
        <v>2902</v>
      </c>
      <c r="K134" s="54">
        <v>13</v>
      </c>
      <c r="L134" s="31">
        <v>11</v>
      </c>
      <c r="M134" s="31">
        <v>13</v>
      </c>
      <c r="N134" s="30" t="s">
        <v>2903</v>
      </c>
      <c r="O134" s="25">
        <v>90</v>
      </c>
      <c r="P134" s="26" t="s">
        <v>194</v>
      </c>
      <c r="Q134" s="27" t="s">
        <v>1155</v>
      </c>
      <c r="R134" s="28" t="s">
        <v>2584</v>
      </c>
      <c r="S134" s="28"/>
      <c r="T134" s="28" t="s">
        <v>1156</v>
      </c>
      <c r="U134" s="45">
        <f t="shared" si="5"/>
        <v>295.2</v>
      </c>
    </row>
    <row r="135" spans="1:23" s="247" customFormat="1" x14ac:dyDescent="0.25">
      <c r="A135" s="228" t="s">
        <v>1520</v>
      </c>
      <c r="B135" s="30" t="s">
        <v>70</v>
      </c>
      <c r="C135" s="29" t="s">
        <v>107</v>
      </c>
      <c r="D135" s="30" t="s">
        <v>949</v>
      </c>
      <c r="E135" s="29" t="s">
        <v>696</v>
      </c>
      <c r="F135" s="29" t="s">
        <v>2005</v>
      </c>
      <c r="G135" s="31">
        <v>41</v>
      </c>
      <c r="H135" s="31">
        <v>43</v>
      </c>
      <c r="I135" s="31">
        <v>4</v>
      </c>
      <c r="J135" s="30" t="s">
        <v>2902</v>
      </c>
      <c r="K135" s="54">
        <v>13</v>
      </c>
      <c r="L135" s="31">
        <v>5</v>
      </c>
      <c r="M135" s="31">
        <v>57</v>
      </c>
      <c r="N135" s="30" t="s">
        <v>2903</v>
      </c>
      <c r="O135" s="25" t="s">
        <v>697</v>
      </c>
      <c r="P135" s="26" t="s">
        <v>204</v>
      </c>
      <c r="Q135" s="27" t="s">
        <v>282</v>
      </c>
      <c r="R135" s="28"/>
      <c r="S135" s="28"/>
      <c r="T135" s="28" t="s">
        <v>1964</v>
      </c>
      <c r="U135" s="45">
        <f t="shared" si="5"/>
        <v>695.36</v>
      </c>
      <c r="V135" s="8"/>
      <c r="W135" s="8"/>
    </row>
    <row r="136" spans="1:23" s="247" customFormat="1" x14ac:dyDescent="0.25">
      <c r="A136" s="228" t="s">
        <v>1521</v>
      </c>
      <c r="B136" s="30" t="s">
        <v>124</v>
      </c>
      <c r="C136" s="29" t="s">
        <v>107</v>
      </c>
      <c r="D136" s="30" t="s">
        <v>949</v>
      </c>
      <c r="E136" s="29" t="s">
        <v>2685</v>
      </c>
      <c r="F136" s="29" t="s">
        <v>2686</v>
      </c>
      <c r="G136" s="31">
        <v>41</v>
      </c>
      <c r="H136" s="31">
        <v>29</v>
      </c>
      <c r="I136" s="31">
        <v>8</v>
      </c>
      <c r="J136" s="30" t="s">
        <v>2902</v>
      </c>
      <c r="K136" s="54">
        <v>13</v>
      </c>
      <c r="L136" s="31">
        <v>43</v>
      </c>
      <c r="M136" s="31">
        <v>8</v>
      </c>
      <c r="N136" s="30" t="s">
        <v>2903</v>
      </c>
      <c r="O136" s="25">
        <v>110</v>
      </c>
      <c r="P136" s="26" t="s">
        <v>232</v>
      </c>
      <c r="Q136" s="27" t="s">
        <v>2687</v>
      </c>
      <c r="R136" s="28" t="s">
        <v>2552</v>
      </c>
      <c r="S136" s="28"/>
      <c r="T136" s="28" t="s">
        <v>2688</v>
      </c>
      <c r="U136" s="45">
        <f t="shared" si="5"/>
        <v>360.79999999999995</v>
      </c>
      <c r="V136" s="8"/>
      <c r="W136" s="8"/>
    </row>
    <row r="137" spans="1:23" s="247" customFormat="1" x14ac:dyDescent="0.25">
      <c r="A137" s="228" t="s">
        <v>1522</v>
      </c>
      <c r="B137" s="30" t="s">
        <v>128</v>
      </c>
      <c r="C137" s="29" t="s">
        <v>107</v>
      </c>
      <c r="D137" s="30" t="s">
        <v>949</v>
      </c>
      <c r="E137" s="29" t="s">
        <v>2978</v>
      </c>
      <c r="F137" s="29" t="s">
        <v>2004</v>
      </c>
      <c r="G137" s="31">
        <v>41</v>
      </c>
      <c r="H137" s="31">
        <v>32</v>
      </c>
      <c r="I137" s="31">
        <v>30</v>
      </c>
      <c r="J137" s="30" t="s">
        <v>2902</v>
      </c>
      <c r="K137" s="54">
        <v>13</v>
      </c>
      <c r="L137" s="31">
        <v>22</v>
      </c>
      <c r="M137" s="31">
        <v>10</v>
      </c>
      <c r="N137" s="30" t="s">
        <v>2903</v>
      </c>
      <c r="O137" s="25" t="s">
        <v>278</v>
      </c>
      <c r="P137" s="26" t="s">
        <v>342</v>
      </c>
      <c r="Q137" s="27" t="s">
        <v>254</v>
      </c>
      <c r="R137" s="28" t="s">
        <v>171</v>
      </c>
      <c r="S137" s="28"/>
      <c r="T137" s="28" t="s">
        <v>1123</v>
      </c>
      <c r="U137" s="45">
        <f t="shared" si="5"/>
        <v>360.79999999999995</v>
      </c>
      <c r="V137" s="8"/>
      <c r="W137" s="8"/>
    </row>
    <row r="138" spans="1:23" s="247" customFormat="1" x14ac:dyDescent="0.25">
      <c r="A138" s="228" t="s">
        <v>1523</v>
      </c>
      <c r="B138" s="30" t="s">
        <v>70</v>
      </c>
      <c r="C138" s="29" t="s">
        <v>107</v>
      </c>
      <c r="D138" s="30" t="s">
        <v>949</v>
      </c>
      <c r="E138" s="29" t="s">
        <v>281</v>
      </c>
      <c r="F138" s="29" t="s">
        <v>1091</v>
      </c>
      <c r="G138" s="31">
        <v>41</v>
      </c>
      <c r="H138" s="31">
        <v>41</v>
      </c>
      <c r="I138" s="31">
        <v>0</v>
      </c>
      <c r="J138" s="30" t="s">
        <v>2902</v>
      </c>
      <c r="K138" s="54">
        <v>13</v>
      </c>
      <c r="L138" s="31">
        <v>16</v>
      </c>
      <c r="M138" s="31">
        <v>30</v>
      </c>
      <c r="N138" s="30" t="s">
        <v>2903</v>
      </c>
      <c r="O138" s="25" t="s">
        <v>250</v>
      </c>
      <c r="P138" s="26" t="s">
        <v>206</v>
      </c>
      <c r="Q138" s="27" t="s">
        <v>282</v>
      </c>
      <c r="R138" s="28"/>
      <c r="S138" s="28"/>
      <c r="T138" s="28" t="s">
        <v>2188</v>
      </c>
      <c r="U138" s="45">
        <f t="shared" si="5"/>
        <v>328</v>
      </c>
      <c r="V138" s="8"/>
      <c r="W138" s="8"/>
    </row>
    <row r="139" spans="1:23" s="247" customFormat="1" x14ac:dyDescent="0.25">
      <c r="A139" s="228" t="s">
        <v>1524</v>
      </c>
      <c r="B139" s="30" t="s">
        <v>70</v>
      </c>
      <c r="C139" s="29" t="s">
        <v>107</v>
      </c>
      <c r="D139" s="30" t="s">
        <v>949</v>
      </c>
      <c r="E139" s="29" t="s">
        <v>281</v>
      </c>
      <c r="F139" s="29" t="s">
        <v>2723</v>
      </c>
      <c r="G139" s="31">
        <v>41</v>
      </c>
      <c r="H139" s="31">
        <v>39</v>
      </c>
      <c r="I139" s="31">
        <v>18</v>
      </c>
      <c r="J139" s="30" t="s">
        <v>2902</v>
      </c>
      <c r="K139" s="54">
        <v>13</v>
      </c>
      <c r="L139" s="31">
        <v>13</v>
      </c>
      <c r="M139" s="31">
        <v>35</v>
      </c>
      <c r="N139" s="30" t="s">
        <v>2903</v>
      </c>
      <c r="O139" s="25">
        <v>145</v>
      </c>
      <c r="P139" s="26" t="s">
        <v>206</v>
      </c>
      <c r="Q139" s="27" t="s">
        <v>2307</v>
      </c>
      <c r="R139" s="28" t="s">
        <v>2750</v>
      </c>
      <c r="S139" s="28"/>
      <c r="T139" s="28" t="s">
        <v>2724</v>
      </c>
      <c r="U139" s="45">
        <f t="shared" si="5"/>
        <v>475.59999999999997</v>
      </c>
      <c r="V139" s="8"/>
      <c r="W139" s="8"/>
    </row>
    <row r="140" spans="1:23" s="247" customFormat="1" x14ac:dyDescent="0.25">
      <c r="A140" s="228" t="s">
        <v>1525</v>
      </c>
      <c r="B140" s="30" t="s">
        <v>124</v>
      </c>
      <c r="C140" s="29" t="s">
        <v>107</v>
      </c>
      <c r="D140" s="30" t="s">
        <v>949</v>
      </c>
      <c r="E140" s="29" t="s">
        <v>2689</v>
      </c>
      <c r="F140" s="29" t="s">
        <v>2690</v>
      </c>
      <c r="G140" s="31">
        <v>41</v>
      </c>
      <c r="H140" s="31">
        <v>38</v>
      </c>
      <c r="I140" s="31">
        <v>52</v>
      </c>
      <c r="J140" s="30" t="s">
        <v>2902</v>
      </c>
      <c r="K140" s="54">
        <v>13</v>
      </c>
      <c r="L140" s="31">
        <v>17</v>
      </c>
      <c r="M140" s="31">
        <v>42</v>
      </c>
      <c r="N140" s="30" t="s">
        <v>2903</v>
      </c>
      <c r="O140" s="25">
        <v>200</v>
      </c>
      <c r="P140" s="26" t="s">
        <v>214</v>
      </c>
      <c r="Q140" s="27" t="s">
        <v>2691</v>
      </c>
      <c r="R140" s="28"/>
      <c r="S140" s="28"/>
      <c r="T140" s="28" t="s">
        <v>2692</v>
      </c>
      <c r="U140" s="45">
        <f>IF(O140&lt;&gt;"",O140*3.28,"")</f>
        <v>656</v>
      </c>
      <c r="V140" s="8"/>
      <c r="W140" s="8"/>
    </row>
    <row r="141" spans="1:23" x14ac:dyDescent="0.25">
      <c r="A141" s="228" t="s">
        <v>1564</v>
      </c>
      <c r="B141" s="30" t="s">
        <v>70</v>
      </c>
      <c r="C141" s="29" t="s">
        <v>107</v>
      </c>
      <c r="D141" s="30" t="s">
        <v>950</v>
      </c>
      <c r="E141" s="29" t="s">
        <v>2728</v>
      </c>
      <c r="F141" s="29" t="s">
        <v>2729</v>
      </c>
      <c r="G141" s="31">
        <v>41</v>
      </c>
      <c r="H141" s="31">
        <v>21</v>
      </c>
      <c r="I141" s="31">
        <v>33</v>
      </c>
      <c r="J141" s="30" t="s">
        <v>2902</v>
      </c>
      <c r="K141" s="54">
        <v>13</v>
      </c>
      <c r="L141" s="31">
        <v>9</v>
      </c>
      <c r="M141" s="31">
        <v>0</v>
      </c>
      <c r="N141" s="30" t="s">
        <v>2903</v>
      </c>
      <c r="O141" s="25">
        <v>15</v>
      </c>
      <c r="P141" s="26" t="s">
        <v>279</v>
      </c>
      <c r="Q141" s="27" t="s">
        <v>218</v>
      </c>
      <c r="R141" s="28"/>
      <c r="S141" s="28"/>
      <c r="T141" s="28" t="s">
        <v>2730</v>
      </c>
      <c r="U141" s="45">
        <f>IF(O141&lt;&gt;"",O141*3.28,"")</f>
        <v>49.199999999999996</v>
      </c>
    </row>
    <row r="142" spans="1:23" x14ac:dyDescent="0.25">
      <c r="A142" s="228" t="s">
        <v>1565</v>
      </c>
      <c r="B142" s="30" t="s">
        <v>124</v>
      </c>
      <c r="C142" s="29" t="s">
        <v>107</v>
      </c>
      <c r="D142" s="30" t="s">
        <v>950</v>
      </c>
      <c r="E142" s="29" t="s">
        <v>2693</v>
      </c>
      <c r="F142" s="29" t="s">
        <v>2694</v>
      </c>
      <c r="G142" s="31">
        <v>41</v>
      </c>
      <c r="H142" s="31">
        <v>32</v>
      </c>
      <c r="I142" s="31">
        <v>30</v>
      </c>
      <c r="J142" s="30" t="s">
        <v>2902</v>
      </c>
      <c r="K142" s="54">
        <v>12</v>
      </c>
      <c r="L142" s="31">
        <v>54</v>
      </c>
      <c r="M142" s="31">
        <v>33</v>
      </c>
      <c r="N142" s="30" t="s">
        <v>2903</v>
      </c>
      <c r="O142" s="25">
        <v>29</v>
      </c>
      <c r="P142" s="26" t="s">
        <v>342</v>
      </c>
      <c r="Q142" s="27" t="s">
        <v>2695</v>
      </c>
      <c r="R142" s="28" t="s">
        <v>2749</v>
      </c>
      <c r="S142" s="28"/>
      <c r="T142" s="28" t="s">
        <v>2696</v>
      </c>
      <c r="U142" s="45">
        <f>IF(O142&lt;&gt;"",O142*3.28,"")</f>
        <v>95.11999999999999</v>
      </c>
    </row>
    <row r="143" spans="1:23" x14ac:dyDescent="0.25">
      <c r="A143" s="228" t="s">
        <v>1566</v>
      </c>
      <c r="B143" s="30" t="s">
        <v>128</v>
      </c>
      <c r="C143" s="29" t="s">
        <v>107</v>
      </c>
      <c r="D143" s="30" t="s">
        <v>950</v>
      </c>
      <c r="E143" s="29" t="s">
        <v>2988</v>
      </c>
      <c r="F143" s="29" t="s">
        <v>2711</v>
      </c>
      <c r="G143" s="31">
        <v>41</v>
      </c>
      <c r="H143" s="31">
        <v>25</v>
      </c>
      <c r="I143" s="31">
        <v>50</v>
      </c>
      <c r="J143" s="30" t="s">
        <v>2902</v>
      </c>
      <c r="K143" s="54">
        <v>13</v>
      </c>
      <c r="L143" s="31">
        <v>7</v>
      </c>
      <c r="M143" s="31">
        <v>30</v>
      </c>
      <c r="N143" s="30" t="s">
        <v>2903</v>
      </c>
      <c r="O143" s="25"/>
      <c r="P143" s="26" t="s">
        <v>232</v>
      </c>
      <c r="Q143" s="27" t="s">
        <v>2712</v>
      </c>
      <c r="R143" s="28"/>
      <c r="S143" s="28"/>
      <c r="T143" s="28" t="s">
        <v>2713</v>
      </c>
      <c r="U143" s="45" t="str">
        <f>IF(O143&lt;&gt;"",O143*3.28,"")</f>
        <v/>
      </c>
    </row>
    <row r="144" spans="1:23" x14ac:dyDescent="0.25">
      <c r="A144" s="229" t="s">
        <v>1567</v>
      </c>
      <c r="B144" s="248" t="s">
        <v>70</v>
      </c>
      <c r="C144" s="249" t="s">
        <v>107</v>
      </c>
      <c r="D144" s="248" t="s">
        <v>950</v>
      </c>
      <c r="E144" s="249" t="s">
        <v>2988</v>
      </c>
      <c r="F144" s="249" t="s">
        <v>1324</v>
      </c>
      <c r="G144" s="250">
        <v>41</v>
      </c>
      <c r="H144" s="250">
        <v>28</v>
      </c>
      <c r="I144" s="250">
        <v>16</v>
      </c>
      <c r="J144" s="251" t="s">
        <v>2902</v>
      </c>
      <c r="K144" s="252">
        <v>13</v>
      </c>
      <c r="L144" s="250">
        <v>1</v>
      </c>
      <c r="M144" s="250">
        <v>31</v>
      </c>
      <c r="N144" s="248" t="s">
        <v>2903</v>
      </c>
      <c r="O144" s="253"/>
      <c r="P144" s="260" t="s">
        <v>342</v>
      </c>
      <c r="Q144" s="261" t="s">
        <v>1325</v>
      </c>
      <c r="R144" s="262"/>
      <c r="S144" s="263"/>
      <c r="T144" s="263"/>
      <c r="U144" s="264"/>
      <c r="V144" s="259"/>
      <c r="W144" s="259"/>
    </row>
    <row r="145" spans="1:23" x14ac:dyDescent="0.25">
      <c r="A145" s="229" t="s">
        <v>1568</v>
      </c>
      <c r="B145" s="248" t="s">
        <v>128</v>
      </c>
      <c r="C145" s="249" t="s">
        <v>107</v>
      </c>
      <c r="D145" s="248" t="s">
        <v>950</v>
      </c>
      <c r="E145" s="249" t="s">
        <v>2988</v>
      </c>
      <c r="F145" s="249" t="s">
        <v>1326</v>
      </c>
      <c r="G145" s="250">
        <v>41</v>
      </c>
      <c r="H145" s="250">
        <v>22</v>
      </c>
      <c r="I145" s="250">
        <v>46</v>
      </c>
      <c r="J145" s="251" t="s">
        <v>2902</v>
      </c>
      <c r="K145" s="252">
        <v>13</v>
      </c>
      <c r="L145" s="250">
        <v>10</v>
      </c>
      <c r="M145" s="250">
        <v>47</v>
      </c>
      <c r="N145" s="248" t="s">
        <v>2903</v>
      </c>
      <c r="O145" s="253">
        <v>25</v>
      </c>
      <c r="P145" s="260" t="s">
        <v>279</v>
      </c>
      <c r="Q145" s="261" t="s">
        <v>386</v>
      </c>
      <c r="R145" s="262" t="s">
        <v>171</v>
      </c>
      <c r="S145" s="263"/>
      <c r="T145" s="263" t="s">
        <v>2489</v>
      </c>
      <c r="U145" s="264">
        <f>IF(O145&lt;&gt;"",O145*3.28,"")</f>
        <v>82</v>
      </c>
      <c r="V145" s="259"/>
      <c r="W145" s="259"/>
    </row>
    <row r="146" spans="1:23" x14ac:dyDescent="0.25">
      <c r="A146" s="228" t="s">
        <v>1569</v>
      </c>
      <c r="B146" s="30" t="s">
        <v>128</v>
      </c>
      <c r="C146" s="29" t="s">
        <v>107</v>
      </c>
      <c r="D146" s="30" t="s">
        <v>950</v>
      </c>
      <c r="E146" s="29" t="s">
        <v>2989</v>
      </c>
      <c r="F146" s="29" t="s">
        <v>1083</v>
      </c>
      <c r="G146" s="31">
        <v>41</v>
      </c>
      <c r="H146" s="31">
        <v>20</v>
      </c>
      <c r="I146" s="31">
        <v>10</v>
      </c>
      <c r="J146" s="30" t="s">
        <v>2902</v>
      </c>
      <c r="K146" s="54">
        <v>13</v>
      </c>
      <c r="L146" s="31">
        <v>1</v>
      </c>
      <c r="M146" s="31">
        <v>10</v>
      </c>
      <c r="N146" s="30" t="s">
        <v>2903</v>
      </c>
      <c r="O146" s="25" t="s">
        <v>228</v>
      </c>
      <c r="P146" s="26" t="s">
        <v>258</v>
      </c>
      <c r="Q146" s="27" t="s">
        <v>388</v>
      </c>
      <c r="R146" s="28" t="s">
        <v>171</v>
      </c>
      <c r="S146" s="28"/>
      <c r="T146" s="28" t="s">
        <v>1124</v>
      </c>
      <c r="U146" s="45">
        <f>IF(O146&lt;&gt;"",O146*3.28,"")</f>
        <v>65.599999999999994</v>
      </c>
    </row>
    <row r="147" spans="1:23" x14ac:dyDescent="0.25">
      <c r="A147" s="228" t="s">
        <v>1570</v>
      </c>
      <c r="B147" s="30" t="s">
        <v>70</v>
      </c>
      <c r="C147" s="29" t="s">
        <v>107</v>
      </c>
      <c r="D147" s="30" t="s">
        <v>950</v>
      </c>
      <c r="E147" s="29" t="s">
        <v>2725</v>
      </c>
      <c r="F147" s="29" t="s">
        <v>2726</v>
      </c>
      <c r="G147" s="31">
        <v>41</v>
      </c>
      <c r="H147" s="31">
        <v>19</v>
      </c>
      <c r="I147" s="31">
        <v>50</v>
      </c>
      <c r="J147" s="30" t="s">
        <v>2902</v>
      </c>
      <c r="K147" s="54">
        <v>13</v>
      </c>
      <c r="L147" s="31">
        <v>20</v>
      </c>
      <c r="M147" s="31">
        <v>50</v>
      </c>
      <c r="N147" s="30" t="s">
        <v>2903</v>
      </c>
      <c r="O147" s="25"/>
      <c r="P147" s="26"/>
      <c r="Q147" s="27" t="s">
        <v>2727</v>
      </c>
      <c r="R147" s="28"/>
      <c r="S147" s="28"/>
      <c r="T147" s="28" t="s">
        <v>2189</v>
      </c>
      <c r="U147" s="45" t="str">
        <f>IF(O147&lt;&gt;"",O147*3.28,"")</f>
        <v/>
      </c>
    </row>
    <row r="148" spans="1:23" x14ac:dyDescent="0.25">
      <c r="A148" s="229" t="s">
        <v>1571</v>
      </c>
      <c r="B148" s="248" t="s">
        <v>128</v>
      </c>
      <c r="C148" s="249" t="s">
        <v>107</v>
      </c>
      <c r="D148" s="248" t="s">
        <v>950</v>
      </c>
      <c r="E148" s="249" t="s">
        <v>1323</v>
      </c>
      <c r="F148" s="249" t="s">
        <v>98</v>
      </c>
      <c r="G148" s="250">
        <v>41</v>
      </c>
      <c r="H148" s="250">
        <v>28</v>
      </c>
      <c r="I148" s="250">
        <v>19</v>
      </c>
      <c r="J148" s="251" t="s">
        <v>2902</v>
      </c>
      <c r="K148" s="252">
        <v>13</v>
      </c>
      <c r="L148" s="250">
        <v>1</v>
      </c>
      <c r="M148" s="250">
        <v>25</v>
      </c>
      <c r="N148" s="248" t="s">
        <v>2903</v>
      </c>
      <c r="O148" s="253">
        <v>50</v>
      </c>
      <c r="P148" s="260" t="s">
        <v>247</v>
      </c>
      <c r="Q148" s="261" t="s">
        <v>293</v>
      </c>
      <c r="R148" s="262"/>
      <c r="S148" s="263"/>
      <c r="T148" s="257" t="s">
        <v>1074</v>
      </c>
      <c r="U148" s="264">
        <f>IF(O148&lt;&gt;"",O148*3.28,"")</f>
        <v>164</v>
      </c>
      <c r="V148" s="259"/>
      <c r="W148" s="259"/>
    </row>
    <row r="149" spans="1:23" x14ac:dyDescent="0.25">
      <c r="A149" s="228" t="s">
        <v>1731</v>
      </c>
      <c r="B149" s="248" t="s">
        <v>70</v>
      </c>
      <c r="C149" s="249" t="s">
        <v>107</v>
      </c>
      <c r="D149" s="248" t="s">
        <v>951</v>
      </c>
      <c r="E149" s="249" t="s">
        <v>1592</v>
      </c>
      <c r="F149" s="249" t="s">
        <v>1592</v>
      </c>
      <c r="G149" s="250">
        <v>42</v>
      </c>
      <c r="H149" s="250">
        <v>37</v>
      </c>
      <c r="I149" s="250">
        <v>0</v>
      </c>
      <c r="J149" s="251" t="s">
        <v>2902</v>
      </c>
      <c r="K149" s="252">
        <v>13</v>
      </c>
      <c r="L149" s="250">
        <v>13</v>
      </c>
      <c r="M149" s="250">
        <v>57</v>
      </c>
      <c r="N149" s="248" t="s">
        <v>2903</v>
      </c>
      <c r="O149" s="253"/>
      <c r="P149" s="260"/>
      <c r="Q149" s="261" t="s">
        <v>2119</v>
      </c>
      <c r="R149" s="262"/>
      <c r="S149" s="263"/>
      <c r="T149" s="263"/>
      <c r="U149" s="264"/>
      <c r="V149" s="259"/>
      <c r="W149" s="259"/>
    </row>
    <row r="150" spans="1:23" x14ac:dyDescent="0.25">
      <c r="A150" s="228" t="s">
        <v>1732</v>
      </c>
      <c r="B150" s="30" t="s">
        <v>128</v>
      </c>
      <c r="C150" s="29" t="s">
        <v>107</v>
      </c>
      <c r="D150" s="30" t="s">
        <v>951</v>
      </c>
      <c r="E150" s="29" t="s">
        <v>3072</v>
      </c>
      <c r="F150" s="29" t="s">
        <v>3073</v>
      </c>
      <c r="G150" s="31">
        <v>42</v>
      </c>
      <c r="H150" s="31">
        <v>33</v>
      </c>
      <c r="I150" s="31">
        <v>40</v>
      </c>
      <c r="J150" s="30" t="s">
        <v>2902</v>
      </c>
      <c r="K150" s="54">
        <v>12</v>
      </c>
      <c r="L150" s="31">
        <v>58</v>
      </c>
      <c r="M150" s="31">
        <v>50</v>
      </c>
      <c r="N150" s="30" t="s">
        <v>2903</v>
      </c>
      <c r="O150" s="25" t="s">
        <v>393</v>
      </c>
      <c r="P150" s="26" t="s">
        <v>204</v>
      </c>
      <c r="Q150" s="27" t="s">
        <v>394</v>
      </c>
      <c r="R150" s="28"/>
      <c r="S150" s="28"/>
      <c r="T150" s="28" t="s">
        <v>1965</v>
      </c>
      <c r="U150" s="45">
        <f t="shared" ref="U150:U162" si="6">IF(O150&lt;&gt;"",O150*3.28,"")</f>
        <v>3214.3999999999996</v>
      </c>
    </row>
    <row r="151" spans="1:23" x14ac:dyDescent="0.25">
      <c r="A151" s="228" t="s">
        <v>1733</v>
      </c>
      <c r="B151" s="30" t="s">
        <v>124</v>
      </c>
      <c r="C151" s="29" t="s">
        <v>107</v>
      </c>
      <c r="D151" s="30" t="s">
        <v>951</v>
      </c>
      <c r="E151" s="29" t="s">
        <v>3071</v>
      </c>
      <c r="F151" s="29" t="s">
        <v>1082</v>
      </c>
      <c r="G151" s="31">
        <v>42</v>
      </c>
      <c r="H151" s="31">
        <v>25</v>
      </c>
      <c r="I151" s="31">
        <v>34</v>
      </c>
      <c r="J151" s="30" t="s">
        <v>2902</v>
      </c>
      <c r="K151" s="54">
        <v>12</v>
      </c>
      <c r="L151" s="31">
        <v>51</v>
      </c>
      <c r="M151" s="31">
        <v>1</v>
      </c>
      <c r="N151" s="30" t="s">
        <v>2903</v>
      </c>
      <c r="O151" s="25" t="s">
        <v>692</v>
      </c>
      <c r="P151" s="26" t="s">
        <v>275</v>
      </c>
      <c r="Q151" s="27" t="s">
        <v>693</v>
      </c>
      <c r="R151" s="28" t="s">
        <v>2640</v>
      </c>
      <c r="S151" s="28"/>
      <c r="T151" s="28" t="s">
        <v>2187</v>
      </c>
      <c r="U151" s="45">
        <f t="shared" si="6"/>
        <v>1275.9199999999998</v>
      </c>
    </row>
    <row r="152" spans="1:23" x14ac:dyDescent="0.25">
      <c r="A152" s="228" t="s">
        <v>1734</v>
      </c>
      <c r="B152" s="248" t="s">
        <v>128</v>
      </c>
      <c r="C152" s="249" t="s">
        <v>107</v>
      </c>
      <c r="D152" s="248" t="s">
        <v>952</v>
      </c>
      <c r="E152" s="249" t="s">
        <v>1304</v>
      </c>
      <c r="F152" s="249" t="s">
        <v>1322</v>
      </c>
      <c r="G152" s="250">
        <v>42</v>
      </c>
      <c r="H152" s="250">
        <v>7</v>
      </c>
      <c r="I152" s="250">
        <v>18</v>
      </c>
      <c r="J152" s="251" t="s">
        <v>2902</v>
      </c>
      <c r="K152" s="252">
        <v>12</v>
      </c>
      <c r="L152" s="250">
        <v>21</v>
      </c>
      <c r="M152" s="250">
        <v>38</v>
      </c>
      <c r="N152" s="248" t="s">
        <v>2903</v>
      </c>
      <c r="O152" s="253">
        <v>215</v>
      </c>
      <c r="P152" s="260" t="s">
        <v>275</v>
      </c>
      <c r="Q152" s="261" t="s">
        <v>1321</v>
      </c>
      <c r="R152" s="262" t="s">
        <v>171</v>
      </c>
      <c r="S152" s="263"/>
      <c r="T152" s="263" t="s">
        <v>1041</v>
      </c>
      <c r="U152" s="264">
        <f t="shared" si="6"/>
        <v>705.19999999999993</v>
      </c>
      <c r="V152" s="259"/>
      <c r="W152" s="266"/>
    </row>
    <row r="153" spans="1:23" x14ac:dyDescent="0.25">
      <c r="A153" s="228" t="s">
        <v>1735</v>
      </c>
      <c r="B153" s="30" t="s">
        <v>128</v>
      </c>
      <c r="C153" s="29" t="s">
        <v>107</v>
      </c>
      <c r="D153" s="30" t="s">
        <v>952</v>
      </c>
      <c r="E153" s="29" t="s">
        <v>3075</v>
      </c>
      <c r="F153" s="29" t="s">
        <v>1084</v>
      </c>
      <c r="G153" s="31">
        <v>42</v>
      </c>
      <c r="H153" s="31">
        <v>4</v>
      </c>
      <c r="I153" s="31">
        <v>25</v>
      </c>
      <c r="J153" s="30" t="s">
        <v>2902</v>
      </c>
      <c r="K153" s="54">
        <v>12</v>
      </c>
      <c r="L153" s="31">
        <v>16</v>
      </c>
      <c r="M153" s="31">
        <v>5</v>
      </c>
      <c r="N153" s="30" t="s">
        <v>2903</v>
      </c>
      <c r="O153" s="25" t="s">
        <v>492</v>
      </c>
      <c r="P153" s="26" t="s">
        <v>232</v>
      </c>
      <c r="Q153" s="27" t="s">
        <v>493</v>
      </c>
      <c r="R153" s="28" t="s">
        <v>171</v>
      </c>
      <c r="S153" s="28"/>
      <c r="T153" s="28" t="s">
        <v>2103</v>
      </c>
      <c r="U153" s="45">
        <f t="shared" si="6"/>
        <v>708.4799999999999</v>
      </c>
    </row>
    <row r="154" spans="1:23" x14ac:dyDescent="0.25">
      <c r="A154" s="228" t="s">
        <v>1736</v>
      </c>
      <c r="B154" s="248" t="s">
        <v>128</v>
      </c>
      <c r="C154" s="249" t="s">
        <v>107</v>
      </c>
      <c r="D154" s="248" t="s">
        <v>952</v>
      </c>
      <c r="E154" s="249" t="s">
        <v>1318</v>
      </c>
      <c r="F154" s="249" t="s">
        <v>97</v>
      </c>
      <c r="G154" s="250">
        <v>41</v>
      </c>
      <c r="H154" s="250">
        <v>40</v>
      </c>
      <c r="I154" s="250">
        <v>30</v>
      </c>
      <c r="J154" s="251" t="s">
        <v>2902</v>
      </c>
      <c r="K154" s="252">
        <v>12</v>
      </c>
      <c r="L154" s="250">
        <v>50</v>
      </c>
      <c r="M154" s="250">
        <v>38</v>
      </c>
      <c r="N154" s="248" t="s">
        <v>2903</v>
      </c>
      <c r="O154" s="253">
        <v>215</v>
      </c>
      <c r="P154" s="260" t="s">
        <v>206</v>
      </c>
      <c r="Q154" s="261" t="s">
        <v>259</v>
      </c>
      <c r="R154" s="262" t="s">
        <v>171</v>
      </c>
      <c r="S154" s="263"/>
      <c r="T154" s="263" t="s">
        <v>1320</v>
      </c>
      <c r="U154" s="264">
        <f t="shared" si="6"/>
        <v>705.19999999999993</v>
      </c>
      <c r="V154" s="259"/>
      <c r="W154" s="247"/>
    </row>
    <row r="155" spans="1:23" x14ac:dyDescent="0.25">
      <c r="A155" s="228" t="s">
        <v>1737</v>
      </c>
      <c r="B155" s="248" t="s">
        <v>128</v>
      </c>
      <c r="C155" s="249" t="s">
        <v>107</v>
      </c>
      <c r="D155" s="248" t="s">
        <v>952</v>
      </c>
      <c r="E155" s="249" t="s">
        <v>1318</v>
      </c>
      <c r="F155" s="249" t="s">
        <v>1319</v>
      </c>
      <c r="G155" s="250">
        <v>41</v>
      </c>
      <c r="H155" s="250">
        <v>41</v>
      </c>
      <c r="I155" s="250">
        <v>45</v>
      </c>
      <c r="J155" s="251" t="s">
        <v>2902</v>
      </c>
      <c r="K155" s="252">
        <v>12</v>
      </c>
      <c r="L155" s="250">
        <v>49</v>
      </c>
      <c r="M155" s="250">
        <v>59</v>
      </c>
      <c r="N155" s="248" t="s">
        <v>2903</v>
      </c>
      <c r="O155" s="253">
        <v>235</v>
      </c>
      <c r="P155" s="260" t="s">
        <v>232</v>
      </c>
      <c r="Q155" s="261" t="s">
        <v>1217</v>
      </c>
      <c r="R155" s="262" t="s">
        <v>171</v>
      </c>
      <c r="S155" s="263"/>
      <c r="T155" s="263" t="s">
        <v>1320</v>
      </c>
      <c r="U155" s="264">
        <f t="shared" si="6"/>
        <v>770.8</v>
      </c>
      <c r="V155" s="259"/>
      <c r="W155" s="259"/>
    </row>
    <row r="156" spans="1:23" x14ac:dyDescent="0.25">
      <c r="A156" s="228" t="s">
        <v>1738</v>
      </c>
      <c r="B156" s="30" t="s">
        <v>70</v>
      </c>
      <c r="C156" s="29" t="s">
        <v>107</v>
      </c>
      <c r="D156" s="30" t="s">
        <v>952</v>
      </c>
      <c r="E156" s="29" t="s">
        <v>3076</v>
      </c>
      <c r="F156" s="29" t="s">
        <v>3077</v>
      </c>
      <c r="G156" s="31">
        <v>42</v>
      </c>
      <c r="H156" s="31">
        <v>8</v>
      </c>
      <c r="I156" s="31">
        <v>0</v>
      </c>
      <c r="J156" s="30" t="s">
        <v>2902</v>
      </c>
      <c r="K156" s="54">
        <v>12</v>
      </c>
      <c r="L156" s="31">
        <v>36</v>
      </c>
      <c r="M156" s="31">
        <v>42</v>
      </c>
      <c r="N156" s="30" t="s">
        <v>2903</v>
      </c>
      <c r="O156" s="25" t="s">
        <v>190</v>
      </c>
      <c r="P156" s="26" t="s">
        <v>204</v>
      </c>
      <c r="Q156" s="27" t="s">
        <v>389</v>
      </c>
      <c r="R156" s="28" t="s">
        <v>171</v>
      </c>
      <c r="S156" s="28"/>
      <c r="T156" s="28" t="s">
        <v>390</v>
      </c>
      <c r="U156" s="45">
        <f t="shared" si="6"/>
        <v>656</v>
      </c>
    </row>
    <row r="157" spans="1:23" x14ac:dyDescent="0.25">
      <c r="A157" s="228" t="s">
        <v>1739</v>
      </c>
      <c r="B157" s="30" t="s">
        <v>70</v>
      </c>
      <c r="C157" s="29" t="s">
        <v>107</v>
      </c>
      <c r="D157" s="30" t="s">
        <v>952</v>
      </c>
      <c r="E157" s="29" t="s">
        <v>3078</v>
      </c>
      <c r="F157" s="29" t="s">
        <v>1092</v>
      </c>
      <c r="G157" s="31">
        <v>41</v>
      </c>
      <c r="H157" s="31">
        <v>59</v>
      </c>
      <c r="I157" s="31">
        <v>40</v>
      </c>
      <c r="J157" s="30" t="s">
        <v>2902</v>
      </c>
      <c r="K157" s="54">
        <v>12</v>
      </c>
      <c r="L157" s="31">
        <v>8</v>
      </c>
      <c r="M157" s="31">
        <v>23</v>
      </c>
      <c r="N157" s="30" t="s">
        <v>2903</v>
      </c>
      <c r="O157" s="25" t="s">
        <v>208</v>
      </c>
      <c r="P157" s="26" t="s">
        <v>214</v>
      </c>
      <c r="Q157" s="27" t="s">
        <v>136</v>
      </c>
      <c r="R157" s="28"/>
      <c r="S157" s="28"/>
      <c r="T157" s="28" t="s">
        <v>1120</v>
      </c>
      <c r="U157" s="45">
        <f t="shared" si="6"/>
        <v>574</v>
      </c>
    </row>
    <row r="158" spans="1:23" x14ac:dyDescent="0.25">
      <c r="A158" s="228" t="s">
        <v>1740</v>
      </c>
      <c r="B158" s="30" t="s">
        <v>128</v>
      </c>
      <c r="C158" s="29" t="s">
        <v>107</v>
      </c>
      <c r="D158" s="30" t="s">
        <v>952</v>
      </c>
      <c r="E158" s="29" t="s">
        <v>3079</v>
      </c>
      <c r="F158" s="29" t="s">
        <v>1085</v>
      </c>
      <c r="G158" s="31">
        <v>42</v>
      </c>
      <c r="H158" s="31">
        <v>8</v>
      </c>
      <c r="I158" s="31">
        <v>54</v>
      </c>
      <c r="J158" s="30" t="s">
        <v>2902</v>
      </c>
      <c r="K158" s="54">
        <v>12</v>
      </c>
      <c r="L158" s="31">
        <v>37</v>
      </c>
      <c r="M158" s="31">
        <v>52</v>
      </c>
      <c r="N158" s="30" t="s">
        <v>2903</v>
      </c>
      <c r="O158" s="25" t="s">
        <v>312</v>
      </c>
      <c r="P158" s="26" t="s">
        <v>204</v>
      </c>
      <c r="Q158" s="27" t="s">
        <v>387</v>
      </c>
      <c r="R158" s="28" t="s">
        <v>171</v>
      </c>
      <c r="S158" s="28"/>
      <c r="T158" s="28" t="s">
        <v>1122</v>
      </c>
      <c r="U158" s="45">
        <f t="shared" si="6"/>
        <v>98.399999999999991</v>
      </c>
    </row>
    <row r="159" spans="1:23" x14ac:dyDescent="0.25">
      <c r="A159" s="228" t="s">
        <v>1741</v>
      </c>
      <c r="B159" s="30" t="s">
        <v>70</v>
      </c>
      <c r="C159" s="29" t="s">
        <v>107</v>
      </c>
      <c r="D159" s="30" t="s">
        <v>952</v>
      </c>
      <c r="E159" s="29" t="s">
        <v>3079</v>
      </c>
      <c r="F159" s="29" t="s">
        <v>2006</v>
      </c>
      <c r="G159" s="31">
        <v>42</v>
      </c>
      <c r="H159" s="31">
        <v>7</v>
      </c>
      <c r="I159" s="31">
        <v>57</v>
      </c>
      <c r="J159" s="30" t="s">
        <v>2902</v>
      </c>
      <c r="K159" s="54">
        <v>12</v>
      </c>
      <c r="L159" s="31">
        <v>37</v>
      </c>
      <c r="M159" s="31">
        <v>34</v>
      </c>
      <c r="N159" s="30" t="s">
        <v>2903</v>
      </c>
      <c r="O159" s="25" t="s">
        <v>312</v>
      </c>
      <c r="P159" s="26" t="s">
        <v>204</v>
      </c>
      <c r="Q159" s="27" t="s">
        <v>1981</v>
      </c>
      <c r="R159" s="28" t="s">
        <v>171</v>
      </c>
      <c r="S159" s="28"/>
      <c r="T159" s="28" t="s">
        <v>679</v>
      </c>
      <c r="U159" s="45">
        <f t="shared" si="6"/>
        <v>98.399999999999991</v>
      </c>
    </row>
    <row r="160" spans="1:23" x14ac:dyDescent="0.25">
      <c r="A160" s="228" t="s">
        <v>1742</v>
      </c>
      <c r="B160" s="30" t="s">
        <v>128</v>
      </c>
      <c r="C160" s="29" t="s">
        <v>107</v>
      </c>
      <c r="D160" s="30" t="s">
        <v>952</v>
      </c>
      <c r="E160" s="29" t="s">
        <v>1086</v>
      </c>
      <c r="F160" s="29" t="s">
        <v>1087</v>
      </c>
      <c r="G160" s="31">
        <v>41</v>
      </c>
      <c r="H160" s="31">
        <v>27</v>
      </c>
      <c r="I160" s="31">
        <v>8</v>
      </c>
      <c r="J160" s="30" t="s">
        <v>2902</v>
      </c>
      <c r="K160" s="54">
        <v>12</v>
      </c>
      <c r="L160" s="31">
        <v>46</v>
      </c>
      <c r="M160" s="31">
        <v>5</v>
      </c>
      <c r="N160" s="30" t="s">
        <v>2903</v>
      </c>
      <c r="O160" s="25" t="s">
        <v>383</v>
      </c>
      <c r="P160" s="26" t="s">
        <v>225</v>
      </c>
      <c r="Q160" s="27" t="s">
        <v>280</v>
      </c>
      <c r="R160" s="28"/>
      <c r="S160" s="28"/>
      <c r="T160" s="28" t="s">
        <v>384</v>
      </c>
      <c r="U160" s="45">
        <f t="shared" si="6"/>
        <v>45.919999999999995</v>
      </c>
    </row>
    <row r="161" spans="1:23" s="247" customFormat="1" x14ac:dyDescent="0.25">
      <c r="A161" s="228" t="s">
        <v>1743</v>
      </c>
      <c r="B161" s="30" t="s">
        <v>124</v>
      </c>
      <c r="C161" s="29" t="s">
        <v>107</v>
      </c>
      <c r="D161" s="30" t="s">
        <v>952</v>
      </c>
      <c r="E161" s="29" t="s">
        <v>2697</v>
      </c>
      <c r="F161" s="29" t="s">
        <v>2698</v>
      </c>
      <c r="G161" s="31">
        <v>41</v>
      </c>
      <c r="H161" s="31">
        <v>59</v>
      </c>
      <c r="I161" s="31">
        <v>25</v>
      </c>
      <c r="J161" s="30" t="s">
        <v>2902</v>
      </c>
      <c r="K161" s="54">
        <v>12</v>
      </c>
      <c r="L161" s="31">
        <v>44</v>
      </c>
      <c r="M161" s="31">
        <v>27</v>
      </c>
      <c r="N161" s="30" t="s">
        <v>2903</v>
      </c>
      <c r="O161" s="25">
        <v>88</v>
      </c>
      <c r="P161" s="26" t="s">
        <v>206</v>
      </c>
      <c r="Q161" s="27" t="s">
        <v>2699</v>
      </c>
      <c r="R161" s="28" t="s">
        <v>2753</v>
      </c>
      <c r="S161" s="28"/>
      <c r="T161" s="28" t="s">
        <v>2700</v>
      </c>
      <c r="U161" s="45">
        <f t="shared" si="6"/>
        <v>288.64</v>
      </c>
      <c r="V161" s="8"/>
      <c r="W161" s="8"/>
    </row>
    <row r="162" spans="1:23" x14ac:dyDescent="0.25">
      <c r="A162" s="228" t="s">
        <v>1744</v>
      </c>
      <c r="B162" s="30" t="s">
        <v>70</v>
      </c>
      <c r="C162" s="29" t="s">
        <v>107</v>
      </c>
      <c r="D162" s="30" t="s">
        <v>952</v>
      </c>
      <c r="E162" s="29" t="s">
        <v>0</v>
      </c>
      <c r="F162" s="29" t="s">
        <v>1</v>
      </c>
      <c r="G162" s="31">
        <v>41</v>
      </c>
      <c r="H162" s="31">
        <v>56</v>
      </c>
      <c r="I162" s="31">
        <v>31</v>
      </c>
      <c r="J162" s="30" t="s">
        <v>2902</v>
      </c>
      <c r="K162" s="54">
        <v>12</v>
      </c>
      <c r="L162" s="31">
        <v>8</v>
      </c>
      <c r="M162" s="31">
        <v>25</v>
      </c>
      <c r="N162" s="30" t="s">
        <v>2903</v>
      </c>
      <c r="O162" s="25" t="s">
        <v>312</v>
      </c>
      <c r="P162" s="26" t="s">
        <v>303</v>
      </c>
      <c r="Q162" s="27" t="s">
        <v>595</v>
      </c>
      <c r="R162" s="28" t="s">
        <v>596</v>
      </c>
      <c r="S162" s="28"/>
      <c r="T162" s="28" t="s">
        <v>1121</v>
      </c>
      <c r="U162" s="45">
        <f t="shared" si="6"/>
        <v>98.399999999999991</v>
      </c>
    </row>
    <row r="163" spans="1:23" x14ac:dyDescent="0.25">
      <c r="A163" s="228" t="s">
        <v>1745</v>
      </c>
      <c r="B163" s="248" t="s">
        <v>70</v>
      </c>
      <c r="C163" s="249" t="s">
        <v>107</v>
      </c>
      <c r="D163" s="248" t="s">
        <v>952</v>
      </c>
      <c r="E163" s="249" t="s">
        <v>1317</v>
      </c>
      <c r="F163" s="249" t="s">
        <v>1299</v>
      </c>
      <c r="G163" s="250">
        <v>41</v>
      </c>
      <c r="H163" s="250">
        <v>53</v>
      </c>
      <c r="I163" s="250">
        <v>12</v>
      </c>
      <c r="J163" s="251" t="s">
        <v>2902</v>
      </c>
      <c r="K163" s="252">
        <v>12</v>
      </c>
      <c r="L163" s="250">
        <v>43</v>
      </c>
      <c r="M163" s="250">
        <v>0</v>
      </c>
      <c r="N163" s="248" t="s">
        <v>2903</v>
      </c>
      <c r="O163" s="253"/>
      <c r="P163" s="260" t="s">
        <v>204</v>
      </c>
      <c r="Q163" s="261" t="s">
        <v>226</v>
      </c>
      <c r="R163" s="262"/>
      <c r="S163" s="263"/>
      <c r="T163" s="263"/>
      <c r="U163" s="264"/>
      <c r="V163" s="259"/>
      <c r="W163" s="259"/>
    </row>
    <row r="164" spans="1:23" x14ac:dyDescent="0.25">
      <c r="A164" s="228" t="s">
        <v>1746</v>
      </c>
      <c r="B164" s="50" t="s">
        <v>70</v>
      </c>
      <c r="C164" s="34" t="s">
        <v>107</v>
      </c>
      <c r="D164" s="50" t="s">
        <v>952</v>
      </c>
      <c r="E164" s="34" t="s">
        <v>2</v>
      </c>
      <c r="F164" s="34" t="s">
        <v>3</v>
      </c>
      <c r="G164" s="35">
        <v>41</v>
      </c>
      <c r="H164" s="35">
        <v>25</v>
      </c>
      <c r="I164" s="35">
        <v>50</v>
      </c>
      <c r="J164" s="143" t="s">
        <v>2902</v>
      </c>
      <c r="K164" s="55">
        <v>13</v>
      </c>
      <c r="L164" s="35">
        <v>7</v>
      </c>
      <c r="M164" s="35">
        <v>30</v>
      </c>
      <c r="N164" s="143" t="s">
        <v>2903</v>
      </c>
      <c r="O164" s="36">
        <v>300</v>
      </c>
      <c r="P164" s="26" t="s">
        <v>194</v>
      </c>
      <c r="Q164" s="27" t="s">
        <v>491</v>
      </c>
      <c r="R164" s="28" t="s">
        <v>171</v>
      </c>
      <c r="S164" s="28"/>
      <c r="T164" s="28" t="s">
        <v>2744</v>
      </c>
      <c r="U164" s="45">
        <f t="shared" ref="U164:U173" si="7">IF(O164&lt;&gt;"",O164*3.28,"")</f>
        <v>983.99999999999989</v>
      </c>
    </row>
    <row r="165" spans="1:23" x14ac:dyDescent="0.25">
      <c r="A165" s="228" t="s">
        <v>1747</v>
      </c>
      <c r="B165" s="30" t="s">
        <v>70</v>
      </c>
      <c r="C165" s="29" t="s">
        <v>107</v>
      </c>
      <c r="D165" s="30" t="s">
        <v>952</v>
      </c>
      <c r="E165" s="29" t="s">
        <v>2</v>
      </c>
      <c r="F165" s="29" t="s">
        <v>4</v>
      </c>
      <c r="G165" s="31">
        <v>41</v>
      </c>
      <c r="H165" s="31">
        <v>28</v>
      </c>
      <c r="I165" s="31">
        <v>30</v>
      </c>
      <c r="J165" s="30" t="s">
        <v>2902</v>
      </c>
      <c r="K165" s="54">
        <v>12</v>
      </c>
      <c r="L165" s="31">
        <v>43</v>
      </c>
      <c r="M165" s="31">
        <v>15</v>
      </c>
      <c r="N165" s="30" t="s">
        <v>2903</v>
      </c>
      <c r="O165" s="25" t="s">
        <v>380</v>
      </c>
      <c r="P165" s="26" t="s">
        <v>194</v>
      </c>
      <c r="Q165" s="27" t="s">
        <v>381</v>
      </c>
      <c r="R165" s="28" t="s">
        <v>382</v>
      </c>
      <c r="S165" s="28"/>
      <c r="T165" s="28" t="s">
        <v>1966</v>
      </c>
      <c r="U165" s="45">
        <f t="shared" si="7"/>
        <v>983.99999999999989</v>
      </c>
    </row>
    <row r="166" spans="1:23" x14ac:dyDescent="0.25">
      <c r="A166" s="228" t="s">
        <v>1748</v>
      </c>
      <c r="B166" s="248" t="s">
        <v>124</v>
      </c>
      <c r="C166" s="249" t="s">
        <v>107</v>
      </c>
      <c r="D166" s="248" t="s">
        <v>952</v>
      </c>
      <c r="E166" s="265" t="s">
        <v>1296</v>
      </c>
      <c r="F166" s="265" t="s">
        <v>1262</v>
      </c>
      <c r="G166" s="250">
        <v>41</v>
      </c>
      <c r="H166" s="250" t="s">
        <v>1263</v>
      </c>
      <c r="I166" s="250">
        <v>18</v>
      </c>
      <c r="J166" s="251" t="s">
        <v>2902</v>
      </c>
      <c r="K166" s="252" t="s">
        <v>324</v>
      </c>
      <c r="L166" s="250" t="s">
        <v>599</v>
      </c>
      <c r="M166" s="250">
        <v>0</v>
      </c>
      <c r="N166" s="248" t="s">
        <v>2903</v>
      </c>
      <c r="O166" s="253">
        <v>1</v>
      </c>
      <c r="P166" s="260" t="s">
        <v>232</v>
      </c>
      <c r="Q166" s="261" t="s">
        <v>2869</v>
      </c>
      <c r="R166" s="262" t="s">
        <v>1220</v>
      </c>
      <c r="S166" s="263"/>
      <c r="T166" s="263"/>
      <c r="U166" s="264">
        <f t="shared" si="7"/>
        <v>3.28</v>
      </c>
      <c r="V166" s="259"/>
      <c r="W166" s="259"/>
    </row>
    <row r="167" spans="1:23" x14ac:dyDescent="0.25">
      <c r="A167" s="228" t="s">
        <v>1749</v>
      </c>
      <c r="B167" s="30" t="s">
        <v>124</v>
      </c>
      <c r="C167" s="29" t="s">
        <v>107</v>
      </c>
      <c r="D167" s="30" t="s">
        <v>952</v>
      </c>
      <c r="E167" s="29" t="s">
        <v>3074</v>
      </c>
      <c r="F167" s="29" t="s">
        <v>2701</v>
      </c>
      <c r="G167" s="31">
        <v>41</v>
      </c>
      <c r="H167" s="31">
        <v>47</v>
      </c>
      <c r="I167" s="31">
        <v>55</v>
      </c>
      <c r="J167" s="30" t="s">
        <v>2902</v>
      </c>
      <c r="K167" s="54">
        <v>12</v>
      </c>
      <c r="L167" s="31">
        <v>35</v>
      </c>
      <c r="M167" s="31">
        <v>42</v>
      </c>
      <c r="N167" s="30" t="s">
        <v>2903</v>
      </c>
      <c r="O167" s="25">
        <v>130</v>
      </c>
      <c r="P167" s="26" t="s">
        <v>232</v>
      </c>
      <c r="Q167" s="27" t="s">
        <v>2702</v>
      </c>
      <c r="R167" s="28" t="s">
        <v>2755</v>
      </c>
      <c r="S167" s="28"/>
      <c r="T167" s="28" t="s">
        <v>2703</v>
      </c>
      <c r="U167" s="45">
        <f t="shared" si="7"/>
        <v>426.4</v>
      </c>
    </row>
    <row r="168" spans="1:23" x14ac:dyDescent="0.25">
      <c r="A168" s="228" t="s">
        <v>1750</v>
      </c>
      <c r="B168" s="30" t="s">
        <v>124</v>
      </c>
      <c r="C168" s="29" t="s">
        <v>107</v>
      </c>
      <c r="D168" s="30" t="s">
        <v>952</v>
      </c>
      <c r="E168" s="29" t="s">
        <v>3074</v>
      </c>
      <c r="F168" s="29" t="s">
        <v>2704</v>
      </c>
      <c r="G168" s="31">
        <v>41</v>
      </c>
      <c r="H168" s="31">
        <v>48</v>
      </c>
      <c r="I168" s="31">
        <v>40</v>
      </c>
      <c r="J168" s="30" t="s">
        <v>2902</v>
      </c>
      <c r="K168" s="54">
        <v>12</v>
      </c>
      <c r="L168" s="31">
        <v>15</v>
      </c>
      <c r="M168" s="31">
        <v>9</v>
      </c>
      <c r="N168" s="30" t="s">
        <v>2903</v>
      </c>
      <c r="O168" s="25">
        <v>4</v>
      </c>
      <c r="P168" s="26" t="s">
        <v>251</v>
      </c>
      <c r="Q168" s="27" t="s">
        <v>2705</v>
      </c>
      <c r="R168" s="28" t="s">
        <v>2604</v>
      </c>
      <c r="S168" s="28"/>
      <c r="T168" s="28" t="s">
        <v>2706</v>
      </c>
      <c r="U168" s="45">
        <f t="shared" si="7"/>
        <v>13.12</v>
      </c>
    </row>
    <row r="169" spans="1:23" x14ac:dyDescent="0.25">
      <c r="A169" s="228" t="s">
        <v>1751</v>
      </c>
      <c r="B169" s="30" t="s">
        <v>124</v>
      </c>
      <c r="C169" s="29" t="s">
        <v>107</v>
      </c>
      <c r="D169" s="30" t="s">
        <v>952</v>
      </c>
      <c r="E169" s="29" t="s">
        <v>3074</v>
      </c>
      <c r="F169" s="29" t="s">
        <v>2707</v>
      </c>
      <c r="G169" s="31">
        <v>41</v>
      </c>
      <c r="H169" s="31">
        <v>57</v>
      </c>
      <c r="I169" s="31">
        <v>5</v>
      </c>
      <c r="J169" s="30" t="s">
        <v>2902</v>
      </c>
      <c r="K169" s="54">
        <v>12</v>
      </c>
      <c r="L169" s="31">
        <v>30</v>
      </c>
      <c r="M169" s="31">
        <v>4</v>
      </c>
      <c r="N169" s="30" t="s">
        <v>2903</v>
      </c>
      <c r="O169" s="25">
        <v>17</v>
      </c>
      <c r="P169" s="26" t="s">
        <v>275</v>
      </c>
      <c r="Q169" s="27" t="s">
        <v>2870</v>
      </c>
      <c r="R169" s="28" t="s">
        <v>2603</v>
      </c>
      <c r="S169" s="28"/>
      <c r="T169" s="28" t="s">
        <v>2708</v>
      </c>
      <c r="U169" s="45">
        <f t="shared" si="7"/>
        <v>55.76</v>
      </c>
    </row>
    <row r="170" spans="1:23" x14ac:dyDescent="0.25">
      <c r="A170" s="228" t="s">
        <v>1752</v>
      </c>
      <c r="B170" s="30" t="s">
        <v>128</v>
      </c>
      <c r="C170" s="29" t="s">
        <v>107</v>
      </c>
      <c r="D170" s="30" t="s">
        <v>952</v>
      </c>
      <c r="E170" s="29" t="s">
        <v>3074</v>
      </c>
      <c r="F170" s="29" t="s">
        <v>5</v>
      </c>
      <c r="G170" s="31">
        <v>41</v>
      </c>
      <c r="H170" s="31">
        <v>53</v>
      </c>
      <c r="I170" s="31">
        <v>44</v>
      </c>
      <c r="J170" s="30" t="s">
        <v>2902</v>
      </c>
      <c r="K170" s="54">
        <v>12</v>
      </c>
      <c r="L170" s="31">
        <v>45</v>
      </c>
      <c r="M170" s="31">
        <v>49</v>
      </c>
      <c r="N170" s="30" t="s">
        <v>2903</v>
      </c>
      <c r="O170" s="25">
        <v>120</v>
      </c>
      <c r="P170" s="26" t="s">
        <v>232</v>
      </c>
      <c r="Q170" s="27" t="s">
        <v>2239</v>
      </c>
      <c r="R170" s="28" t="s">
        <v>171</v>
      </c>
      <c r="S170" s="28"/>
      <c r="T170" s="28" t="s">
        <v>395</v>
      </c>
      <c r="U170" s="45">
        <f t="shared" si="7"/>
        <v>393.59999999999997</v>
      </c>
    </row>
    <row r="171" spans="1:23" x14ac:dyDescent="0.25">
      <c r="A171" s="228" t="s">
        <v>1753</v>
      </c>
      <c r="B171" s="30" t="s">
        <v>70</v>
      </c>
      <c r="C171" s="29" t="s">
        <v>107</v>
      </c>
      <c r="D171" s="30" t="s">
        <v>952</v>
      </c>
      <c r="E171" s="29" t="s">
        <v>2731</v>
      </c>
      <c r="F171" s="29" t="s">
        <v>73</v>
      </c>
      <c r="G171" s="31">
        <v>42</v>
      </c>
      <c r="H171" s="31">
        <v>1</v>
      </c>
      <c r="I171" s="31">
        <v>25</v>
      </c>
      <c r="J171" s="30" t="s">
        <v>2902</v>
      </c>
      <c r="K171" s="54">
        <v>11</v>
      </c>
      <c r="L171" s="31">
        <v>59</v>
      </c>
      <c r="M171" s="31">
        <v>20</v>
      </c>
      <c r="N171" s="30" t="s">
        <v>2903</v>
      </c>
      <c r="O171" s="25" t="s">
        <v>285</v>
      </c>
      <c r="P171" s="26" t="s">
        <v>342</v>
      </c>
      <c r="Q171" s="27" t="s">
        <v>2732</v>
      </c>
      <c r="R171" s="28"/>
      <c r="S171" s="28"/>
      <c r="T171" s="28" t="s">
        <v>1967</v>
      </c>
      <c r="U171" s="45">
        <f t="shared" si="7"/>
        <v>16.399999999999999</v>
      </c>
    </row>
    <row r="172" spans="1:23" x14ac:dyDescent="0.25">
      <c r="A172" s="228" t="s">
        <v>1754</v>
      </c>
      <c r="B172" s="248" t="s">
        <v>128</v>
      </c>
      <c r="C172" s="249" t="s">
        <v>107</v>
      </c>
      <c r="D172" s="248" t="s">
        <v>952</v>
      </c>
      <c r="E172" s="249" t="s">
        <v>1259</v>
      </c>
      <c r="F172" s="249" t="s">
        <v>1260</v>
      </c>
      <c r="G172" s="250">
        <v>42</v>
      </c>
      <c r="H172" s="250">
        <v>2</v>
      </c>
      <c r="I172" s="250">
        <v>27</v>
      </c>
      <c r="J172" s="251" t="s">
        <v>2902</v>
      </c>
      <c r="K172" s="252">
        <v>12</v>
      </c>
      <c r="L172" s="250">
        <v>32</v>
      </c>
      <c r="M172" s="250">
        <v>18</v>
      </c>
      <c r="N172" s="248" t="s">
        <v>2903</v>
      </c>
      <c r="O172" s="253">
        <v>21</v>
      </c>
      <c r="P172" s="260" t="s">
        <v>194</v>
      </c>
      <c r="Q172" s="261" t="s">
        <v>1261</v>
      </c>
      <c r="R172" s="262" t="s">
        <v>171</v>
      </c>
      <c r="S172" s="263"/>
      <c r="T172" s="263" t="s">
        <v>1073</v>
      </c>
      <c r="U172" s="264">
        <f t="shared" si="7"/>
        <v>68.88</v>
      </c>
      <c r="V172" s="259"/>
      <c r="W172" s="259"/>
    </row>
    <row r="173" spans="1:23" x14ac:dyDescent="0.25">
      <c r="A173" s="228" t="s">
        <v>1755</v>
      </c>
      <c r="B173" s="30" t="s">
        <v>128</v>
      </c>
      <c r="C173" s="29" t="s">
        <v>107</v>
      </c>
      <c r="D173" s="30" t="s">
        <v>952</v>
      </c>
      <c r="E173" s="29" t="s">
        <v>2714</v>
      </c>
      <c r="F173" s="29" t="s">
        <v>2715</v>
      </c>
      <c r="G173" s="31">
        <v>41</v>
      </c>
      <c r="H173" s="31">
        <v>44</v>
      </c>
      <c r="I173" s="31">
        <v>0</v>
      </c>
      <c r="J173" s="30" t="s">
        <v>2902</v>
      </c>
      <c r="K173" s="54">
        <v>12</v>
      </c>
      <c r="L173" s="31">
        <v>45</v>
      </c>
      <c r="M173" s="31">
        <v>2</v>
      </c>
      <c r="N173" s="30" t="s">
        <v>2903</v>
      </c>
      <c r="O173" s="25">
        <v>620</v>
      </c>
      <c r="P173" s="26" t="s">
        <v>225</v>
      </c>
      <c r="Q173" s="27" t="s">
        <v>134</v>
      </c>
      <c r="R173" s="28" t="s">
        <v>171</v>
      </c>
      <c r="S173" s="28"/>
      <c r="T173" s="28" t="s">
        <v>2716</v>
      </c>
      <c r="U173" s="45">
        <f t="shared" si="7"/>
        <v>2033.6</v>
      </c>
    </row>
    <row r="174" spans="1:23" x14ac:dyDescent="0.25">
      <c r="A174" s="228" t="s">
        <v>1906</v>
      </c>
      <c r="B174" s="30" t="s">
        <v>70</v>
      </c>
      <c r="C174" s="265" t="s">
        <v>107</v>
      </c>
      <c r="D174" s="30" t="s">
        <v>953</v>
      </c>
      <c r="E174" s="29" t="s">
        <v>2754</v>
      </c>
      <c r="F174" s="29" t="s">
        <v>2754</v>
      </c>
      <c r="G174" s="31">
        <v>42</v>
      </c>
      <c r="H174" s="31">
        <v>18</v>
      </c>
      <c r="I174" s="31">
        <v>12</v>
      </c>
      <c r="J174" s="30" t="s">
        <v>2902</v>
      </c>
      <c r="K174" s="54">
        <v>12</v>
      </c>
      <c r="L174" s="31">
        <v>22</v>
      </c>
      <c r="M174" s="31">
        <v>48</v>
      </c>
      <c r="N174" s="30" t="s">
        <v>2903</v>
      </c>
      <c r="O174" s="25">
        <v>0</v>
      </c>
      <c r="P174" s="26" t="s">
        <v>206</v>
      </c>
      <c r="Q174" s="27" t="s">
        <v>137</v>
      </c>
      <c r="R174" s="28"/>
      <c r="S174" s="28"/>
      <c r="U174" s="45"/>
    </row>
    <row r="175" spans="1:23" x14ac:dyDescent="0.25">
      <c r="A175" s="228" t="s">
        <v>1907</v>
      </c>
      <c r="B175" s="30" t="s">
        <v>128</v>
      </c>
      <c r="C175" s="29" t="s">
        <v>107</v>
      </c>
      <c r="D175" s="30" t="s">
        <v>953</v>
      </c>
      <c r="E175" s="29" t="s">
        <v>2717</v>
      </c>
      <c r="F175" s="29" t="s">
        <v>998</v>
      </c>
      <c r="G175" s="31">
        <v>42</v>
      </c>
      <c r="H175" s="31">
        <v>23</v>
      </c>
      <c r="I175" s="31">
        <v>30</v>
      </c>
      <c r="J175" s="30" t="s">
        <v>2902</v>
      </c>
      <c r="K175" s="54">
        <v>12</v>
      </c>
      <c r="L175" s="31">
        <v>20</v>
      </c>
      <c r="M175" s="31">
        <v>38</v>
      </c>
      <c r="N175" s="30" t="s">
        <v>2903</v>
      </c>
      <c r="O175" s="25">
        <v>243</v>
      </c>
      <c r="P175" s="26" t="s">
        <v>206</v>
      </c>
      <c r="Q175" s="27" t="s">
        <v>2718</v>
      </c>
      <c r="R175" s="28"/>
      <c r="S175" s="28"/>
      <c r="T175" s="28" t="s">
        <v>2719</v>
      </c>
      <c r="U175" s="45">
        <f>IF(O175&lt;&gt;"",O175*3.28,"")</f>
        <v>797.04</v>
      </c>
    </row>
    <row r="176" spans="1:23" x14ac:dyDescent="0.25">
      <c r="A176" s="228" t="s">
        <v>1908</v>
      </c>
      <c r="B176" s="30" t="s">
        <v>70</v>
      </c>
      <c r="C176" s="29" t="s">
        <v>107</v>
      </c>
      <c r="D176" s="30" t="s">
        <v>953</v>
      </c>
      <c r="E176" s="29" t="s">
        <v>2751</v>
      </c>
      <c r="F176" s="29" t="s">
        <v>2751</v>
      </c>
      <c r="G176" s="31">
        <v>42</v>
      </c>
      <c r="H176" s="31">
        <v>17</v>
      </c>
      <c r="I176" s="31">
        <v>0</v>
      </c>
      <c r="J176" s="30" t="s">
        <v>2902</v>
      </c>
      <c r="K176" s="54">
        <v>12</v>
      </c>
      <c r="L176" s="31">
        <v>21</v>
      </c>
      <c r="M176" s="31">
        <v>0</v>
      </c>
      <c r="N176" s="30" t="s">
        <v>2903</v>
      </c>
      <c r="O176" s="25"/>
      <c r="P176" s="26" t="s">
        <v>204</v>
      </c>
      <c r="Q176" s="27" t="s">
        <v>245</v>
      </c>
      <c r="R176" s="28"/>
      <c r="S176" s="28"/>
      <c r="U176" s="45"/>
    </row>
    <row r="177" spans="1:21" x14ac:dyDescent="0.25">
      <c r="A177" s="228" t="s">
        <v>1909</v>
      </c>
      <c r="B177" s="30" t="s">
        <v>128</v>
      </c>
      <c r="C177" s="29" t="s">
        <v>107</v>
      </c>
      <c r="D177" s="30" t="s">
        <v>953</v>
      </c>
      <c r="E177" s="29" t="s">
        <v>2720</v>
      </c>
      <c r="F177" s="29" t="s">
        <v>2721</v>
      </c>
      <c r="G177" s="31">
        <v>42</v>
      </c>
      <c r="H177" s="31">
        <v>21</v>
      </c>
      <c r="I177" s="31">
        <v>18</v>
      </c>
      <c r="J177" s="30" t="s">
        <v>2902</v>
      </c>
      <c r="K177" s="54">
        <v>12</v>
      </c>
      <c r="L177" s="31">
        <v>23</v>
      </c>
      <c r="M177" s="31">
        <v>0</v>
      </c>
      <c r="N177" s="30" t="s">
        <v>2903</v>
      </c>
      <c r="O177" s="25">
        <v>117</v>
      </c>
      <c r="P177" s="26" t="s">
        <v>214</v>
      </c>
      <c r="Q177" s="27" t="s">
        <v>634</v>
      </c>
      <c r="R177" s="28" t="s">
        <v>2550</v>
      </c>
      <c r="S177" s="28"/>
      <c r="T177" s="28" t="s">
        <v>2722</v>
      </c>
      <c r="U177" s="45">
        <f t="shared" ref="U177:U207" si="8">IF(O177&lt;&gt;"",O177*3.28,"")</f>
        <v>383.76</v>
      </c>
    </row>
    <row r="178" spans="1:21" x14ac:dyDescent="0.25">
      <c r="A178" s="228" t="s">
        <v>1910</v>
      </c>
      <c r="B178" s="30" t="s">
        <v>70</v>
      </c>
      <c r="C178" s="29" t="s">
        <v>107</v>
      </c>
      <c r="D178" s="30" t="s">
        <v>953</v>
      </c>
      <c r="E178" s="29" t="s">
        <v>66</v>
      </c>
      <c r="F178" s="29" t="s">
        <v>67</v>
      </c>
      <c r="G178" s="31">
        <v>42</v>
      </c>
      <c r="H178" s="31">
        <v>22</v>
      </c>
      <c r="I178" s="31">
        <v>0</v>
      </c>
      <c r="J178" s="30" t="s">
        <v>2902</v>
      </c>
      <c r="K178" s="54">
        <v>11</v>
      </c>
      <c r="L178" s="31">
        <v>39</v>
      </c>
      <c r="M178" s="31">
        <v>0</v>
      </c>
      <c r="N178" s="30" t="s">
        <v>2903</v>
      </c>
      <c r="O178" s="25" t="s">
        <v>312</v>
      </c>
      <c r="P178" s="26" t="s">
        <v>191</v>
      </c>
      <c r="Q178" s="27" t="s">
        <v>391</v>
      </c>
      <c r="R178" s="28" t="s">
        <v>171</v>
      </c>
      <c r="S178" s="28"/>
      <c r="T178" s="28" t="s">
        <v>392</v>
      </c>
      <c r="U178" s="45">
        <f t="shared" si="8"/>
        <v>98.399999999999991</v>
      </c>
    </row>
    <row r="179" spans="1:21" x14ac:dyDescent="0.25">
      <c r="A179" s="228" t="s">
        <v>1911</v>
      </c>
      <c r="B179" s="30" t="s">
        <v>128</v>
      </c>
      <c r="C179" s="29" t="s">
        <v>107</v>
      </c>
      <c r="D179" s="30" t="s">
        <v>953</v>
      </c>
      <c r="E179" s="29" t="s">
        <v>68</v>
      </c>
      <c r="F179" s="29" t="s">
        <v>1088</v>
      </c>
      <c r="G179" s="31">
        <v>42</v>
      </c>
      <c r="H179" s="31">
        <v>14</v>
      </c>
      <c r="I179" s="31">
        <v>50</v>
      </c>
      <c r="J179" s="30" t="s">
        <v>2902</v>
      </c>
      <c r="K179" s="54">
        <v>12</v>
      </c>
      <c r="L179" s="31">
        <v>18</v>
      </c>
      <c r="M179" s="31">
        <v>40</v>
      </c>
      <c r="N179" s="30" t="s">
        <v>2903</v>
      </c>
      <c r="O179" s="25" t="s">
        <v>309</v>
      </c>
      <c r="P179" s="26" t="s">
        <v>187</v>
      </c>
      <c r="Q179" s="27" t="s">
        <v>397</v>
      </c>
      <c r="R179" s="28"/>
      <c r="S179" s="28"/>
      <c r="T179" s="28" t="s">
        <v>2632</v>
      </c>
      <c r="U179" s="45">
        <f t="shared" si="8"/>
        <v>787.19999999999993</v>
      </c>
    </row>
    <row r="180" spans="1:21" x14ac:dyDescent="0.25">
      <c r="A180" s="228" t="s">
        <v>1912</v>
      </c>
      <c r="B180" s="30" t="s">
        <v>128</v>
      </c>
      <c r="C180" s="29" t="s">
        <v>107</v>
      </c>
      <c r="D180" s="30" t="s">
        <v>953</v>
      </c>
      <c r="E180" s="29" t="s">
        <v>2745</v>
      </c>
      <c r="F180" s="29" t="s">
        <v>2746</v>
      </c>
      <c r="G180" s="31">
        <v>42</v>
      </c>
      <c r="H180" s="31">
        <v>39</v>
      </c>
      <c r="I180" s="31">
        <v>53</v>
      </c>
      <c r="J180" s="30" t="s">
        <v>2902</v>
      </c>
      <c r="K180" s="54">
        <v>12</v>
      </c>
      <c r="L180" s="31">
        <v>9</v>
      </c>
      <c r="M180" s="31">
        <v>12</v>
      </c>
      <c r="N180" s="30" t="s">
        <v>2903</v>
      </c>
      <c r="O180" s="25">
        <v>350</v>
      </c>
      <c r="P180" s="26" t="s">
        <v>194</v>
      </c>
      <c r="Q180" s="27" t="s">
        <v>2747</v>
      </c>
      <c r="R180" s="28" t="s">
        <v>171</v>
      </c>
      <c r="S180" s="28"/>
      <c r="T180" s="28" t="s">
        <v>2748</v>
      </c>
      <c r="U180" s="45">
        <f t="shared" si="8"/>
        <v>1148</v>
      </c>
    </row>
    <row r="181" spans="1:21" x14ac:dyDescent="0.25">
      <c r="A181" s="228" t="s">
        <v>1913</v>
      </c>
      <c r="B181" s="30" t="s">
        <v>128</v>
      </c>
      <c r="C181" s="29" t="s">
        <v>107</v>
      </c>
      <c r="D181" s="30" t="s">
        <v>953</v>
      </c>
      <c r="E181" s="29" t="s">
        <v>732</v>
      </c>
      <c r="F181" s="29" t="s">
        <v>733</v>
      </c>
      <c r="G181" s="31">
        <v>42</v>
      </c>
      <c r="H181" s="31">
        <v>13</v>
      </c>
      <c r="I181" s="31">
        <v>76</v>
      </c>
      <c r="J181" s="30" t="s">
        <v>2902</v>
      </c>
      <c r="K181" s="54">
        <v>12</v>
      </c>
      <c r="L181" s="31">
        <v>7</v>
      </c>
      <c r="M181" s="31">
        <v>26</v>
      </c>
      <c r="N181" s="30" t="s">
        <v>2903</v>
      </c>
      <c r="O181" s="25">
        <v>379</v>
      </c>
      <c r="P181" s="26" t="s">
        <v>225</v>
      </c>
      <c r="Q181" s="27" t="s">
        <v>131</v>
      </c>
      <c r="R181" s="28" t="s">
        <v>171</v>
      </c>
      <c r="S181" s="28"/>
      <c r="T181" s="28" t="s">
        <v>734</v>
      </c>
      <c r="U181" s="45">
        <f t="shared" si="8"/>
        <v>1243.1199999999999</v>
      </c>
    </row>
    <row r="182" spans="1:21" x14ac:dyDescent="0.25">
      <c r="A182" s="228" t="s">
        <v>1914</v>
      </c>
      <c r="B182" s="30" t="s">
        <v>70</v>
      </c>
      <c r="C182" s="29" t="s">
        <v>107</v>
      </c>
      <c r="D182" s="30" t="s">
        <v>953</v>
      </c>
      <c r="E182" s="29" t="s">
        <v>2733</v>
      </c>
      <c r="F182" s="29" t="s">
        <v>2734</v>
      </c>
      <c r="G182" s="31">
        <v>42</v>
      </c>
      <c r="H182" s="31">
        <v>25</v>
      </c>
      <c r="I182" s="31">
        <v>59</v>
      </c>
      <c r="J182" s="30" t="s">
        <v>2902</v>
      </c>
      <c r="K182" s="54">
        <v>12</v>
      </c>
      <c r="L182" s="31">
        <v>17</v>
      </c>
      <c r="M182" s="31">
        <v>27</v>
      </c>
      <c r="N182" s="30" t="s">
        <v>2903</v>
      </c>
      <c r="O182" s="25">
        <v>300</v>
      </c>
      <c r="P182" s="26" t="s">
        <v>187</v>
      </c>
      <c r="Q182" s="27" t="s">
        <v>673</v>
      </c>
      <c r="R182" s="28"/>
      <c r="S182" s="28"/>
      <c r="T182" s="28" t="s">
        <v>2735</v>
      </c>
      <c r="U182" s="45">
        <f t="shared" si="8"/>
        <v>983.99999999999989</v>
      </c>
    </row>
    <row r="183" spans="1:21" x14ac:dyDescent="0.25">
      <c r="A183" s="228" t="s">
        <v>1915</v>
      </c>
      <c r="B183" s="30" t="s">
        <v>128</v>
      </c>
      <c r="C183" s="29" t="s">
        <v>107</v>
      </c>
      <c r="D183" s="30" t="s">
        <v>953</v>
      </c>
      <c r="E183" s="29" t="s">
        <v>616</v>
      </c>
      <c r="F183" s="29" t="s">
        <v>1090</v>
      </c>
      <c r="G183" s="31">
        <v>42</v>
      </c>
      <c r="H183" s="31">
        <v>13</v>
      </c>
      <c r="I183" s="31">
        <v>2</v>
      </c>
      <c r="J183" s="30" t="s">
        <v>2902</v>
      </c>
      <c r="K183" s="54">
        <v>12</v>
      </c>
      <c r="L183" s="31">
        <v>14</v>
      </c>
      <c r="M183" s="31">
        <v>42</v>
      </c>
      <c r="N183" s="30" t="s">
        <v>2903</v>
      </c>
      <c r="O183" s="25" t="s">
        <v>617</v>
      </c>
      <c r="P183" s="26" t="s">
        <v>204</v>
      </c>
      <c r="Q183" s="27" t="s">
        <v>298</v>
      </c>
      <c r="R183" s="28" t="s">
        <v>171</v>
      </c>
      <c r="S183" s="28"/>
      <c r="T183" s="28" t="s">
        <v>618</v>
      </c>
      <c r="U183" s="45">
        <f t="shared" si="8"/>
        <v>862.64</v>
      </c>
    </row>
    <row r="184" spans="1:21" x14ac:dyDescent="0.25">
      <c r="A184" s="228" t="s">
        <v>1916</v>
      </c>
      <c r="B184" s="30" t="s">
        <v>70</v>
      </c>
      <c r="C184" s="29" t="s">
        <v>107</v>
      </c>
      <c r="D184" s="30" t="s">
        <v>953</v>
      </c>
      <c r="E184" s="29" t="s">
        <v>2736</v>
      </c>
      <c r="F184" s="29" t="s">
        <v>2737</v>
      </c>
      <c r="G184" s="31">
        <v>42</v>
      </c>
      <c r="H184" s="31">
        <v>13</v>
      </c>
      <c r="I184" s="31">
        <v>0</v>
      </c>
      <c r="J184" s="30" t="s">
        <v>2902</v>
      </c>
      <c r="K184" s="54">
        <v>11</v>
      </c>
      <c r="L184" s="31">
        <v>47</v>
      </c>
      <c r="M184" s="31">
        <v>12</v>
      </c>
      <c r="N184" s="30" t="s">
        <v>2903</v>
      </c>
      <c r="O184" s="25">
        <v>106</v>
      </c>
      <c r="P184" s="26" t="s">
        <v>194</v>
      </c>
      <c r="Q184" s="27" t="s">
        <v>271</v>
      </c>
      <c r="R184" s="28" t="s">
        <v>2550</v>
      </c>
      <c r="S184" s="28"/>
      <c r="T184" s="28" t="s">
        <v>2738</v>
      </c>
      <c r="U184" s="45">
        <f t="shared" si="8"/>
        <v>347.68</v>
      </c>
    </row>
    <row r="185" spans="1:21" x14ac:dyDescent="0.25">
      <c r="A185" s="228" t="s">
        <v>1917</v>
      </c>
      <c r="B185" s="30" t="s">
        <v>70</v>
      </c>
      <c r="C185" s="29" t="s">
        <v>107</v>
      </c>
      <c r="D185" s="30" t="s">
        <v>953</v>
      </c>
      <c r="E185" s="29" t="s">
        <v>2736</v>
      </c>
      <c r="F185" s="29" t="s">
        <v>2739</v>
      </c>
      <c r="G185" s="31">
        <v>42</v>
      </c>
      <c r="H185" s="31">
        <v>11</v>
      </c>
      <c r="I185" s="31">
        <v>36</v>
      </c>
      <c r="J185" s="30" t="s">
        <v>2902</v>
      </c>
      <c r="K185" s="54">
        <v>11</v>
      </c>
      <c r="L185" s="31">
        <v>43</v>
      </c>
      <c r="M185" s="31">
        <v>35</v>
      </c>
      <c r="N185" s="30" t="s">
        <v>2903</v>
      </c>
      <c r="O185" s="25">
        <v>1</v>
      </c>
      <c r="P185" s="26" t="s">
        <v>330</v>
      </c>
      <c r="Q185" s="27" t="s">
        <v>2740</v>
      </c>
      <c r="R185" s="28" t="s">
        <v>2752</v>
      </c>
      <c r="S185" s="28"/>
      <c r="T185" s="28" t="s">
        <v>2741</v>
      </c>
      <c r="U185" s="45">
        <f t="shared" si="8"/>
        <v>3.28</v>
      </c>
    </row>
    <row r="186" spans="1:21" x14ac:dyDescent="0.25">
      <c r="A186" s="228" t="s">
        <v>1918</v>
      </c>
      <c r="B186" s="30" t="s">
        <v>128</v>
      </c>
      <c r="C186" s="29" t="s">
        <v>107</v>
      </c>
      <c r="D186" s="30" t="s">
        <v>953</v>
      </c>
      <c r="E186" s="29" t="s">
        <v>69</v>
      </c>
      <c r="F186" s="29" t="s">
        <v>1089</v>
      </c>
      <c r="G186" s="31">
        <v>42</v>
      </c>
      <c r="H186" s="31">
        <v>24</v>
      </c>
      <c r="I186" s="31">
        <v>41</v>
      </c>
      <c r="J186" s="30" t="s">
        <v>2902</v>
      </c>
      <c r="K186" s="54">
        <v>11</v>
      </c>
      <c r="L186" s="31">
        <v>54</v>
      </c>
      <c r="M186" s="31">
        <v>14</v>
      </c>
      <c r="N186" s="30" t="s">
        <v>2903</v>
      </c>
      <c r="O186" s="25" t="s">
        <v>428</v>
      </c>
      <c r="P186" s="26" t="s">
        <v>330</v>
      </c>
      <c r="Q186" s="27" t="s">
        <v>136</v>
      </c>
      <c r="R186" s="28" t="s">
        <v>233</v>
      </c>
      <c r="S186" s="28"/>
      <c r="T186" s="28" t="s">
        <v>1125</v>
      </c>
      <c r="U186" s="45">
        <f t="shared" si="8"/>
        <v>590.4</v>
      </c>
    </row>
    <row r="187" spans="1:21" x14ac:dyDescent="0.25">
      <c r="A187" s="228" t="s">
        <v>1919</v>
      </c>
      <c r="B187" s="30" t="s">
        <v>70</v>
      </c>
      <c r="C187" s="29" t="s">
        <v>107</v>
      </c>
      <c r="D187" s="30" t="s">
        <v>953</v>
      </c>
      <c r="E187" s="29" t="s">
        <v>69</v>
      </c>
      <c r="F187" s="29" t="s">
        <v>2742</v>
      </c>
      <c r="G187" s="31">
        <v>42</v>
      </c>
      <c r="H187" s="31">
        <v>22</v>
      </c>
      <c r="I187" s="31">
        <v>0</v>
      </c>
      <c r="J187" s="30" t="s">
        <v>2902</v>
      </c>
      <c r="K187" s="54">
        <v>11</v>
      </c>
      <c r="L187" s="31">
        <v>48</v>
      </c>
      <c r="M187" s="31">
        <v>0</v>
      </c>
      <c r="N187" s="30" t="s">
        <v>2903</v>
      </c>
      <c r="O187" s="25">
        <v>150</v>
      </c>
      <c r="P187" s="26" t="s">
        <v>194</v>
      </c>
      <c r="Q187" s="27" t="s">
        <v>373</v>
      </c>
      <c r="R187" s="28" t="s">
        <v>2550</v>
      </c>
      <c r="S187" s="28"/>
      <c r="T187" s="28" t="s">
        <v>2743</v>
      </c>
      <c r="U187" s="45">
        <f t="shared" si="8"/>
        <v>491.99999999999994</v>
      </c>
    </row>
    <row r="188" spans="1:21" x14ac:dyDescent="0.25">
      <c r="A188" s="228" t="s">
        <v>1920</v>
      </c>
      <c r="B188" s="30" t="s">
        <v>124</v>
      </c>
      <c r="C188" s="29" t="s">
        <v>107</v>
      </c>
      <c r="D188" s="30" t="s">
        <v>953</v>
      </c>
      <c r="E188" s="29" t="s">
        <v>2709</v>
      </c>
      <c r="F188" s="29" t="s">
        <v>2710</v>
      </c>
      <c r="G188" s="31">
        <v>42</v>
      </c>
      <c r="H188" s="31">
        <v>26</v>
      </c>
      <c r="I188" s="31">
        <v>3</v>
      </c>
      <c r="J188" s="30" t="s">
        <v>2902</v>
      </c>
      <c r="K188" s="54">
        <v>12</v>
      </c>
      <c r="L188" s="31">
        <v>3</v>
      </c>
      <c r="M188" s="31">
        <v>44</v>
      </c>
      <c r="N188" s="30" t="s">
        <v>2903</v>
      </c>
      <c r="O188" s="25">
        <v>303</v>
      </c>
      <c r="P188" s="26" t="s">
        <v>194</v>
      </c>
      <c r="Q188" s="27" t="s">
        <v>600</v>
      </c>
      <c r="R188" s="28" t="s">
        <v>664</v>
      </c>
      <c r="S188" s="28"/>
      <c r="T188" s="28" t="s">
        <v>978</v>
      </c>
      <c r="U188" s="45">
        <f t="shared" si="8"/>
        <v>993.83999999999992</v>
      </c>
    </row>
    <row r="189" spans="1:21" x14ac:dyDescent="0.25">
      <c r="A189" s="228" t="s">
        <v>1526</v>
      </c>
      <c r="B189" s="30" t="s">
        <v>124</v>
      </c>
      <c r="C189" s="29" t="s">
        <v>94</v>
      </c>
      <c r="D189" s="30" t="s">
        <v>954</v>
      </c>
      <c r="E189" s="29" t="s">
        <v>2320</v>
      </c>
      <c r="F189" s="29" t="s">
        <v>2321</v>
      </c>
      <c r="G189" s="31">
        <v>44</v>
      </c>
      <c r="H189" s="31">
        <v>24</v>
      </c>
      <c r="I189" s="31">
        <v>47</v>
      </c>
      <c r="J189" s="30" t="s">
        <v>2902</v>
      </c>
      <c r="K189" s="54">
        <v>8</v>
      </c>
      <c r="L189" s="31">
        <v>50</v>
      </c>
      <c r="M189" s="31">
        <v>16</v>
      </c>
      <c r="N189" s="30" t="s">
        <v>2903</v>
      </c>
      <c r="O189" s="25">
        <v>4</v>
      </c>
      <c r="P189" s="26" t="s">
        <v>277</v>
      </c>
      <c r="Q189" s="27" t="s">
        <v>2865</v>
      </c>
      <c r="R189" s="28" t="s">
        <v>2605</v>
      </c>
      <c r="S189" s="28"/>
      <c r="T189" s="28" t="s">
        <v>2322</v>
      </c>
      <c r="U189" s="45">
        <f t="shared" si="8"/>
        <v>13.12</v>
      </c>
    </row>
    <row r="190" spans="1:21" x14ac:dyDescent="0.25">
      <c r="A190" s="228" t="s">
        <v>1527</v>
      </c>
      <c r="B190" s="30" t="s">
        <v>128</v>
      </c>
      <c r="C190" s="29" t="s">
        <v>94</v>
      </c>
      <c r="D190" s="30" t="s">
        <v>954</v>
      </c>
      <c r="E190" s="29" t="s">
        <v>2320</v>
      </c>
      <c r="F190" s="29" t="s">
        <v>2817</v>
      </c>
      <c r="G190" s="31">
        <v>44</v>
      </c>
      <c r="H190" s="31">
        <v>22</v>
      </c>
      <c r="I190" s="31">
        <v>95</v>
      </c>
      <c r="J190" s="30" t="s">
        <v>2902</v>
      </c>
      <c r="K190" s="54">
        <v>9</v>
      </c>
      <c r="L190" s="31">
        <v>17</v>
      </c>
      <c r="M190" s="31">
        <v>70</v>
      </c>
      <c r="N190" s="30" t="s">
        <v>2903</v>
      </c>
      <c r="O190" s="25"/>
      <c r="P190" s="26" t="s">
        <v>2818</v>
      </c>
      <c r="Q190" s="27" t="s">
        <v>2818</v>
      </c>
      <c r="R190" s="28" t="s">
        <v>2818</v>
      </c>
      <c r="S190" s="28"/>
      <c r="T190" s="28" t="s">
        <v>2819</v>
      </c>
      <c r="U190" s="45" t="str">
        <f t="shared" si="8"/>
        <v/>
      </c>
    </row>
    <row r="191" spans="1:21" x14ac:dyDescent="0.25">
      <c r="A191" s="228" t="s">
        <v>1776</v>
      </c>
      <c r="B191" s="30" t="s">
        <v>70</v>
      </c>
      <c r="C191" s="29" t="s">
        <v>94</v>
      </c>
      <c r="D191" s="30" t="s">
        <v>955</v>
      </c>
      <c r="E191" s="29" t="s">
        <v>2329</v>
      </c>
      <c r="F191" s="29" t="s">
        <v>2335</v>
      </c>
      <c r="G191" s="31">
        <v>44</v>
      </c>
      <c r="H191" s="31">
        <v>13</v>
      </c>
      <c r="I191" s="31">
        <v>37</v>
      </c>
      <c r="J191" s="30" t="s">
        <v>2902</v>
      </c>
      <c r="K191" s="54">
        <v>9</v>
      </c>
      <c r="L191" s="31">
        <v>43</v>
      </c>
      <c r="M191" s="31">
        <v>21</v>
      </c>
      <c r="N191" s="30" t="s">
        <v>2903</v>
      </c>
      <c r="O191" s="25">
        <v>100</v>
      </c>
      <c r="P191" s="26" t="s">
        <v>194</v>
      </c>
      <c r="Q191" s="27" t="s">
        <v>511</v>
      </c>
      <c r="R191" s="28"/>
      <c r="S191" s="28"/>
      <c r="T191" s="28" t="s">
        <v>2336</v>
      </c>
      <c r="U191" s="45">
        <f t="shared" si="8"/>
        <v>328</v>
      </c>
    </row>
    <row r="192" spans="1:21" x14ac:dyDescent="0.25">
      <c r="A192" s="228" t="s">
        <v>1777</v>
      </c>
      <c r="B192" s="30" t="s">
        <v>124</v>
      </c>
      <c r="C192" s="29" t="s">
        <v>94</v>
      </c>
      <c r="D192" s="30" t="s">
        <v>955</v>
      </c>
      <c r="E192" s="29" t="s">
        <v>2323</v>
      </c>
      <c r="F192" s="29" t="s">
        <v>2324</v>
      </c>
      <c r="G192" s="31">
        <v>44</v>
      </c>
      <c r="H192" s="31">
        <v>5</v>
      </c>
      <c r="I192" s="31">
        <v>14</v>
      </c>
      <c r="J192" s="30" t="s">
        <v>2902</v>
      </c>
      <c r="K192" s="54">
        <v>9</v>
      </c>
      <c r="L192" s="31">
        <v>59</v>
      </c>
      <c r="M192" s="31">
        <v>18</v>
      </c>
      <c r="N192" s="30" t="s">
        <v>2903</v>
      </c>
      <c r="O192" s="25">
        <v>13</v>
      </c>
      <c r="P192" s="26" t="s">
        <v>206</v>
      </c>
      <c r="Q192" s="27" t="s">
        <v>2866</v>
      </c>
      <c r="R192" s="28" t="s">
        <v>601</v>
      </c>
      <c r="S192" s="28"/>
      <c r="T192" s="28" t="s">
        <v>2325</v>
      </c>
      <c r="U192" s="45">
        <f t="shared" si="8"/>
        <v>42.64</v>
      </c>
    </row>
    <row r="193" spans="1:23" x14ac:dyDescent="0.25">
      <c r="A193" s="228" t="s">
        <v>1787</v>
      </c>
      <c r="B193" s="30" t="s">
        <v>124</v>
      </c>
      <c r="C193" s="29" t="s">
        <v>94</v>
      </c>
      <c r="D193" s="30" t="s">
        <v>956</v>
      </c>
      <c r="E193" s="29" t="s">
        <v>2326</v>
      </c>
      <c r="F193" s="29" t="s">
        <v>2327</v>
      </c>
      <c r="G193" s="31">
        <v>44</v>
      </c>
      <c r="H193" s="31">
        <v>2</v>
      </c>
      <c r="I193" s="31">
        <v>41</v>
      </c>
      <c r="J193" s="30" t="s">
        <v>2902</v>
      </c>
      <c r="K193" s="54">
        <v>8</v>
      </c>
      <c r="L193" s="31">
        <v>7</v>
      </c>
      <c r="M193" s="31">
        <v>35</v>
      </c>
      <c r="N193" s="30" t="s">
        <v>2903</v>
      </c>
      <c r="O193" s="25">
        <v>45</v>
      </c>
      <c r="P193" s="26" t="s">
        <v>204</v>
      </c>
      <c r="Q193" s="27" t="s">
        <v>2867</v>
      </c>
      <c r="R193" s="28" t="s">
        <v>2896</v>
      </c>
      <c r="S193" s="28"/>
      <c r="T193" s="28" t="s">
        <v>2328</v>
      </c>
      <c r="U193" s="45">
        <f t="shared" si="8"/>
        <v>147.6</v>
      </c>
    </row>
    <row r="194" spans="1:23" x14ac:dyDescent="0.25">
      <c r="A194" s="228" t="s">
        <v>1393</v>
      </c>
      <c r="B194" s="30" t="s">
        <v>70</v>
      </c>
      <c r="C194" s="29" t="s">
        <v>93</v>
      </c>
      <c r="D194" s="30" t="s">
        <v>957</v>
      </c>
      <c r="E194" s="29" t="s">
        <v>2920</v>
      </c>
      <c r="F194" s="29" t="s">
        <v>2007</v>
      </c>
      <c r="G194" s="31">
        <v>45</v>
      </c>
      <c r="H194" s="31">
        <v>27</v>
      </c>
      <c r="I194" s="31">
        <v>40</v>
      </c>
      <c r="J194" s="30" t="s">
        <v>2902</v>
      </c>
      <c r="K194" s="54">
        <v>9</v>
      </c>
      <c r="L194" s="31">
        <v>34</v>
      </c>
      <c r="M194" s="31">
        <v>35</v>
      </c>
      <c r="N194" s="30" t="s">
        <v>2903</v>
      </c>
      <c r="O194" s="25" t="s">
        <v>193</v>
      </c>
      <c r="P194" s="26" t="s">
        <v>206</v>
      </c>
      <c r="Q194" s="27" t="s">
        <v>530</v>
      </c>
      <c r="R194" s="28"/>
      <c r="S194" s="28"/>
      <c r="T194" s="28" t="s">
        <v>2193</v>
      </c>
      <c r="U194" s="45">
        <f t="shared" si="8"/>
        <v>459.2</v>
      </c>
    </row>
    <row r="195" spans="1:23" x14ac:dyDescent="0.25">
      <c r="A195" s="228" t="s">
        <v>1394</v>
      </c>
      <c r="B195" s="30" t="s">
        <v>124</v>
      </c>
      <c r="C195" s="29" t="s">
        <v>93</v>
      </c>
      <c r="D195" s="30" t="s">
        <v>957</v>
      </c>
      <c r="E195" s="29" t="s">
        <v>2340</v>
      </c>
      <c r="F195" s="29" t="s">
        <v>2341</v>
      </c>
      <c r="G195" s="31">
        <v>45</v>
      </c>
      <c r="H195" s="31">
        <v>40</v>
      </c>
      <c r="I195" s="31">
        <v>6</v>
      </c>
      <c r="J195" s="30" t="s">
        <v>2902</v>
      </c>
      <c r="K195" s="54">
        <v>9</v>
      </c>
      <c r="L195" s="31">
        <v>42</v>
      </c>
      <c r="M195" s="31">
        <v>2</v>
      </c>
      <c r="N195" s="30" t="s">
        <v>2903</v>
      </c>
      <c r="O195" s="25">
        <v>240</v>
      </c>
      <c r="P195" s="26" t="s">
        <v>277</v>
      </c>
      <c r="Q195" s="27" t="s">
        <v>2868</v>
      </c>
      <c r="R195" s="28" t="s">
        <v>2755</v>
      </c>
      <c r="S195" s="28"/>
      <c r="T195" s="28" t="s">
        <v>2342</v>
      </c>
      <c r="U195" s="45">
        <f t="shared" si="8"/>
        <v>787.19999999999993</v>
      </c>
    </row>
    <row r="196" spans="1:23" s="247" customFormat="1" x14ac:dyDescent="0.25">
      <c r="A196" s="228" t="s">
        <v>1395</v>
      </c>
      <c r="B196" s="30" t="s">
        <v>70</v>
      </c>
      <c r="C196" s="29" t="s">
        <v>93</v>
      </c>
      <c r="D196" s="30" t="s">
        <v>957</v>
      </c>
      <c r="E196" s="29" t="s">
        <v>560</v>
      </c>
      <c r="F196" s="29" t="s">
        <v>2008</v>
      </c>
      <c r="G196" s="31">
        <v>45</v>
      </c>
      <c r="H196" s="31">
        <v>29</v>
      </c>
      <c r="I196" s="31">
        <v>15</v>
      </c>
      <c r="J196" s="30" t="s">
        <v>2902</v>
      </c>
      <c r="K196" s="54">
        <v>9</v>
      </c>
      <c r="L196" s="31">
        <v>38</v>
      </c>
      <c r="M196" s="31">
        <v>20</v>
      </c>
      <c r="N196" s="30" t="s">
        <v>2903</v>
      </c>
      <c r="O196" s="25" t="s">
        <v>278</v>
      </c>
      <c r="P196" s="26" t="s">
        <v>204</v>
      </c>
      <c r="Q196" s="27" t="s">
        <v>207</v>
      </c>
      <c r="R196" s="28"/>
      <c r="S196" s="28"/>
      <c r="T196" s="28" t="s">
        <v>1968</v>
      </c>
      <c r="U196" s="45">
        <f t="shared" si="8"/>
        <v>360.79999999999995</v>
      </c>
      <c r="V196" s="8"/>
      <c r="W196" s="8"/>
    </row>
    <row r="197" spans="1:23" x14ac:dyDescent="0.25">
      <c r="A197" s="228" t="s">
        <v>1396</v>
      </c>
      <c r="B197" s="30" t="s">
        <v>124</v>
      </c>
      <c r="C197" s="29" t="s">
        <v>93</v>
      </c>
      <c r="D197" s="30" t="s">
        <v>957</v>
      </c>
      <c r="E197" s="29" t="s">
        <v>2343</v>
      </c>
      <c r="F197" s="29" t="s">
        <v>2344</v>
      </c>
      <c r="G197" s="31">
        <v>45</v>
      </c>
      <c r="H197" s="31">
        <v>43</v>
      </c>
      <c r="I197" s="31">
        <v>12</v>
      </c>
      <c r="J197" s="30" t="s">
        <v>2902</v>
      </c>
      <c r="K197" s="54">
        <v>9</v>
      </c>
      <c r="L197" s="31">
        <v>35</v>
      </c>
      <c r="M197" s="31">
        <v>38</v>
      </c>
      <c r="N197" s="30" t="s">
        <v>2903</v>
      </c>
      <c r="O197" s="25">
        <v>230</v>
      </c>
      <c r="P197" s="26" t="s">
        <v>330</v>
      </c>
      <c r="Q197" s="27" t="s">
        <v>2062</v>
      </c>
      <c r="R197" s="28" t="s">
        <v>485</v>
      </c>
      <c r="S197" s="28"/>
      <c r="T197" s="28" t="s">
        <v>2345</v>
      </c>
      <c r="U197" s="45">
        <f t="shared" si="8"/>
        <v>754.4</v>
      </c>
    </row>
    <row r="198" spans="1:23" x14ac:dyDescent="0.25">
      <c r="A198" s="228" t="s">
        <v>1422</v>
      </c>
      <c r="B198" s="30" t="s">
        <v>70</v>
      </c>
      <c r="C198" s="29" t="s">
        <v>93</v>
      </c>
      <c r="D198" s="30" t="s">
        <v>958</v>
      </c>
      <c r="E198" s="29" t="s">
        <v>690</v>
      </c>
      <c r="F198" s="29" t="s">
        <v>691</v>
      </c>
      <c r="G198" s="31">
        <v>45</v>
      </c>
      <c r="H198" s="31">
        <v>51</v>
      </c>
      <c r="I198" s="31">
        <v>15</v>
      </c>
      <c r="J198" s="30" t="s">
        <v>2902</v>
      </c>
      <c r="K198" s="54">
        <v>10</v>
      </c>
      <c r="L198" s="31">
        <v>8</v>
      </c>
      <c r="M198" s="31">
        <v>45</v>
      </c>
      <c r="N198" s="30" t="s">
        <v>2903</v>
      </c>
      <c r="O198" s="25" t="s">
        <v>672</v>
      </c>
      <c r="P198" s="26" t="s">
        <v>194</v>
      </c>
      <c r="Q198" s="27" t="s">
        <v>411</v>
      </c>
      <c r="R198" s="28" t="s">
        <v>171</v>
      </c>
      <c r="S198" s="28"/>
      <c r="T198" s="28" t="s">
        <v>1970</v>
      </c>
      <c r="U198" s="45">
        <f t="shared" si="8"/>
        <v>672.4</v>
      </c>
    </row>
    <row r="199" spans="1:23" x14ac:dyDescent="0.25">
      <c r="A199" s="228" t="s">
        <v>1423</v>
      </c>
      <c r="B199" s="30" t="s">
        <v>124</v>
      </c>
      <c r="C199" s="29" t="s">
        <v>93</v>
      </c>
      <c r="D199" s="30" t="s">
        <v>958</v>
      </c>
      <c r="E199" s="29" t="s">
        <v>2346</v>
      </c>
      <c r="F199" s="29" t="s">
        <v>2347</v>
      </c>
      <c r="G199" s="31">
        <v>45</v>
      </c>
      <c r="H199" s="31">
        <v>24</v>
      </c>
      <c r="I199" s="31">
        <v>0</v>
      </c>
      <c r="J199" s="30" t="s">
        <v>2902</v>
      </c>
      <c r="K199" s="54">
        <v>10</v>
      </c>
      <c r="L199" s="31">
        <v>19</v>
      </c>
      <c r="M199" s="31">
        <v>0</v>
      </c>
      <c r="N199" s="30" t="s">
        <v>2903</v>
      </c>
      <c r="O199" s="25">
        <v>100</v>
      </c>
      <c r="P199" s="26" t="s">
        <v>258</v>
      </c>
      <c r="Q199" s="27" t="s">
        <v>2869</v>
      </c>
      <c r="R199" s="28" t="s">
        <v>2601</v>
      </c>
      <c r="S199" s="28"/>
      <c r="T199" s="28" t="s">
        <v>2348</v>
      </c>
      <c r="U199" s="45">
        <f t="shared" si="8"/>
        <v>328</v>
      </c>
    </row>
    <row r="200" spans="1:23" x14ac:dyDescent="0.25">
      <c r="A200" s="228" t="s">
        <v>1424</v>
      </c>
      <c r="B200" s="30" t="s">
        <v>70</v>
      </c>
      <c r="C200" s="29" t="s">
        <v>93</v>
      </c>
      <c r="D200" s="30" t="s">
        <v>958</v>
      </c>
      <c r="E200" s="29" t="s">
        <v>2405</v>
      </c>
      <c r="F200" s="29" t="s">
        <v>2406</v>
      </c>
      <c r="G200" s="31">
        <v>45</v>
      </c>
      <c r="H200" s="31">
        <v>28</v>
      </c>
      <c r="I200" s="31">
        <v>0</v>
      </c>
      <c r="J200" s="30" t="s">
        <v>2902</v>
      </c>
      <c r="K200" s="54">
        <v>10</v>
      </c>
      <c r="L200" s="31">
        <v>21</v>
      </c>
      <c r="M200" s="31">
        <v>0</v>
      </c>
      <c r="N200" s="30" t="s">
        <v>2903</v>
      </c>
      <c r="O200" s="25">
        <v>145</v>
      </c>
      <c r="P200" s="26" t="s">
        <v>342</v>
      </c>
      <c r="Q200" s="27" t="s">
        <v>2407</v>
      </c>
      <c r="R200" s="28"/>
      <c r="S200" s="28"/>
      <c r="T200" s="28" t="s">
        <v>2408</v>
      </c>
      <c r="U200" s="45">
        <f t="shared" si="8"/>
        <v>475.59999999999997</v>
      </c>
    </row>
    <row r="201" spans="1:23" x14ac:dyDescent="0.25">
      <c r="A201" s="228" t="s">
        <v>1435</v>
      </c>
      <c r="B201" s="30" t="s">
        <v>70</v>
      </c>
      <c r="C201" s="29" t="s">
        <v>93</v>
      </c>
      <c r="D201" s="30" t="s">
        <v>958</v>
      </c>
      <c r="E201" s="29" t="s">
        <v>641</v>
      </c>
      <c r="F201" s="29" t="s">
        <v>2010</v>
      </c>
      <c r="G201" s="31">
        <v>45</v>
      </c>
      <c r="H201" s="31">
        <v>19</v>
      </c>
      <c r="I201" s="31">
        <v>40</v>
      </c>
      <c r="J201" s="30" t="s">
        <v>2902</v>
      </c>
      <c r="K201" s="54">
        <v>10</v>
      </c>
      <c r="L201" s="31">
        <v>22</v>
      </c>
      <c r="M201" s="31">
        <v>47</v>
      </c>
      <c r="N201" s="30" t="s">
        <v>2903</v>
      </c>
      <c r="O201" s="25" t="s">
        <v>642</v>
      </c>
      <c r="P201" s="26" t="s">
        <v>187</v>
      </c>
      <c r="Q201" s="27" t="s">
        <v>643</v>
      </c>
      <c r="R201" s="28" t="s">
        <v>171</v>
      </c>
      <c r="S201" s="28"/>
      <c r="T201" s="28" t="s">
        <v>1969</v>
      </c>
      <c r="U201" s="45">
        <f t="shared" si="8"/>
        <v>216.48</v>
      </c>
    </row>
    <row r="202" spans="1:23" x14ac:dyDescent="0.25">
      <c r="A202" s="228" t="s">
        <v>1425</v>
      </c>
      <c r="B202" s="30" t="s">
        <v>70</v>
      </c>
      <c r="C202" s="29" t="s">
        <v>93</v>
      </c>
      <c r="D202" s="30" t="s">
        <v>958</v>
      </c>
      <c r="E202" s="29" t="s">
        <v>627</v>
      </c>
      <c r="F202" s="29" t="s">
        <v>628</v>
      </c>
      <c r="G202" s="31">
        <v>45</v>
      </c>
      <c r="H202" s="31">
        <v>29</v>
      </c>
      <c r="I202" s="31">
        <v>0</v>
      </c>
      <c r="J202" s="30" t="s">
        <v>2902</v>
      </c>
      <c r="K202" s="54">
        <v>9</v>
      </c>
      <c r="L202" s="31">
        <v>57</v>
      </c>
      <c r="M202" s="31">
        <v>23</v>
      </c>
      <c r="N202" s="30" t="s">
        <v>2903</v>
      </c>
      <c r="O202" s="25" t="s">
        <v>190</v>
      </c>
      <c r="P202" s="26" t="s">
        <v>206</v>
      </c>
      <c r="Q202" s="27" t="s">
        <v>629</v>
      </c>
      <c r="R202" s="28"/>
      <c r="S202" s="28"/>
      <c r="T202" s="28" t="s">
        <v>2194</v>
      </c>
      <c r="U202" s="45">
        <f t="shared" si="8"/>
        <v>656</v>
      </c>
    </row>
    <row r="203" spans="1:23" x14ac:dyDescent="0.25">
      <c r="A203" s="229" t="s">
        <v>1426</v>
      </c>
      <c r="B203" s="248" t="s">
        <v>124</v>
      </c>
      <c r="C203" s="249" t="s">
        <v>93</v>
      </c>
      <c r="D203" s="248" t="s">
        <v>958</v>
      </c>
      <c r="E203" s="265" t="s">
        <v>1300</v>
      </c>
      <c r="F203" s="265" t="s">
        <v>1257</v>
      </c>
      <c r="G203" s="250">
        <v>45</v>
      </c>
      <c r="H203" s="250" t="s">
        <v>481</v>
      </c>
      <c r="I203" s="250">
        <v>20</v>
      </c>
      <c r="J203" s="251" t="s">
        <v>2902</v>
      </c>
      <c r="K203" s="252" t="s">
        <v>355</v>
      </c>
      <c r="L203" s="250" t="s">
        <v>599</v>
      </c>
      <c r="M203" s="250">
        <v>28</v>
      </c>
      <c r="N203" s="248" t="s">
        <v>2903</v>
      </c>
      <c r="O203" s="253">
        <v>101</v>
      </c>
      <c r="P203" s="260" t="s">
        <v>258</v>
      </c>
      <c r="Q203" s="261" t="s">
        <v>2869</v>
      </c>
      <c r="R203" s="262" t="s">
        <v>1258</v>
      </c>
      <c r="S203" s="263"/>
      <c r="T203" s="263"/>
      <c r="U203" s="264">
        <f t="shared" si="8"/>
        <v>331.28</v>
      </c>
      <c r="V203" s="259"/>
      <c r="W203" s="259"/>
    </row>
    <row r="204" spans="1:23" x14ac:dyDescent="0.25">
      <c r="A204" s="228" t="s">
        <v>1427</v>
      </c>
      <c r="B204" s="30" t="s">
        <v>128</v>
      </c>
      <c r="C204" s="29" t="s">
        <v>93</v>
      </c>
      <c r="D204" s="30" t="s">
        <v>958</v>
      </c>
      <c r="E204" s="29" t="s">
        <v>2598</v>
      </c>
      <c r="F204" s="29" t="s">
        <v>2385</v>
      </c>
      <c r="G204" s="31">
        <v>45</v>
      </c>
      <c r="H204" s="31">
        <v>23</v>
      </c>
      <c r="I204" s="31">
        <v>39</v>
      </c>
      <c r="J204" s="30" t="s">
        <v>2902</v>
      </c>
      <c r="K204" s="54">
        <v>10</v>
      </c>
      <c r="L204" s="31">
        <v>33</v>
      </c>
      <c r="M204" s="31">
        <v>51</v>
      </c>
      <c r="N204" s="30" t="s">
        <v>2903</v>
      </c>
      <c r="O204" s="25">
        <v>200</v>
      </c>
      <c r="P204" s="26" t="s">
        <v>258</v>
      </c>
      <c r="Q204" s="27" t="s">
        <v>254</v>
      </c>
      <c r="R204" s="28" t="s">
        <v>171</v>
      </c>
      <c r="S204" s="28"/>
      <c r="T204" s="28" t="s">
        <v>2386</v>
      </c>
      <c r="U204" s="45">
        <f t="shared" si="8"/>
        <v>656</v>
      </c>
    </row>
    <row r="205" spans="1:23" x14ac:dyDescent="0.25">
      <c r="A205" s="228" t="s">
        <v>1428</v>
      </c>
      <c r="B205" s="30" t="s">
        <v>70</v>
      </c>
      <c r="C205" s="29" t="s">
        <v>93</v>
      </c>
      <c r="D205" s="30" t="s">
        <v>958</v>
      </c>
      <c r="E205" s="29" t="s">
        <v>378</v>
      </c>
      <c r="F205" s="29" t="s">
        <v>2009</v>
      </c>
      <c r="G205" s="31">
        <v>45</v>
      </c>
      <c r="H205" s="31">
        <v>31</v>
      </c>
      <c r="I205" s="31">
        <v>0</v>
      </c>
      <c r="J205" s="30" t="s">
        <v>2902</v>
      </c>
      <c r="K205" s="54">
        <v>10</v>
      </c>
      <c r="L205" s="31">
        <v>22</v>
      </c>
      <c r="M205" s="31">
        <v>0</v>
      </c>
      <c r="N205" s="30" t="s">
        <v>2903</v>
      </c>
      <c r="O205" s="25" t="s">
        <v>278</v>
      </c>
      <c r="P205" s="26" t="s">
        <v>342</v>
      </c>
      <c r="Q205" s="27" t="s">
        <v>268</v>
      </c>
      <c r="R205" s="28"/>
      <c r="S205" s="28"/>
      <c r="T205" s="28" t="s">
        <v>379</v>
      </c>
      <c r="U205" s="45">
        <f t="shared" si="8"/>
        <v>360.79999999999995</v>
      </c>
    </row>
    <row r="206" spans="1:23" x14ac:dyDescent="0.25">
      <c r="A206" s="228" t="s">
        <v>1429</v>
      </c>
      <c r="B206" s="30" t="s">
        <v>70</v>
      </c>
      <c r="C206" s="29" t="s">
        <v>93</v>
      </c>
      <c r="D206" s="30" t="s">
        <v>958</v>
      </c>
      <c r="E206" s="29" t="s">
        <v>2409</v>
      </c>
      <c r="F206" s="29" t="s">
        <v>2410</v>
      </c>
      <c r="G206" s="31">
        <v>45</v>
      </c>
      <c r="H206" s="31">
        <v>23</v>
      </c>
      <c r="I206" s="31">
        <v>16</v>
      </c>
      <c r="J206" s="30" t="s">
        <v>2902</v>
      </c>
      <c r="K206" s="54">
        <v>10</v>
      </c>
      <c r="L206" s="31">
        <v>8</v>
      </c>
      <c r="M206" s="31">
        <v>11</v>
      </c>
      <c r="N206" s="30" t="s">
        <v>2903</v>
      </c>
      <c r="O206" s="25">
        <v>75</v>
      </c>
      <c r="P206" s="26" t="s">
        <v>204</v>
      </c>
      <c r="Q206" s="27" t="s">
        <v>2412</v>
      </c>
      <c r="R206" s="28" t="s">
        <v>2591</v>
      </c>
      <c r="S206" s="28"/>
      <c r="T206" s="28" t="s">
        <v>2411</v>
      </c>
      <c r="U206" s="45">
        <f t="shared" si="8"/>
        <v>245.99999999999997</v>
      </c>
    </row>
    <row r="207" spans="1:23" x14ac:dyDescent="0.25">
      <c r="A207" s="228" t="s">
        <v>1430</v>
      </c>
      <c r="B207" s="30" t="s">
        <v>128</v>
      </c>
      <c r="C207" s="29" t="s">
        <v>93</v>
      </c>
      <c r="D207" s="30" t="s">
        <v>958</v>
      </c>
      <c r="E207" s="29" t="s">
        <v>2387</v>
      </c>
      <c r="F207" s="29" t="s">
        <v>2388</v>
      </c>
      <c r="G207" s="31">
        <v>46</v>
      </c>
      <c r="H207" s="31">
        <v>15</v>
      </c>
      <c r="I207" s="31">
        <v>0</v>
      </c>
      <c r="J207" s="30" t="s">
        <v>2902</v>
      </c>
      <c r="K207" s="54">
        <v>10</v>
      </c>
      <c r="L207" s="31">
        <v>35</v>
      </c>
      <c r="M207" s="31">
        <v>0</v>
      </c>
      <c r="N207" s="30" t="s">
        <v>2903</v>
      </c>
      <c r="O207" s="25">
        <v>1900</v>
      </c>
      <c r="P207" s="26" t="s">
        <v>204</v>
      </c>
      <c r="Q207" s="27" t="s">
        <v>226</v>
      </c>
      <c r="R207" s="28"/>
      <c r="S207" s="28"/>
      <c r="T207" s="28" t="s">
        <v>2389</v>
      </c>
      <c r="U207" s="45">
        <f t="shared" si="8"/>
        <v>6232</v>
      </c>
    </row>
    <row r="208" spans="1:23" x14ac:dyDescent="0.25">
      <c r="A208" s="229" t="s">
        <v>1431</v>
      </c>
      <c r="B208" s="248" t="s">
        <v>70</v>
      </c>
      <c r="C208" s="249" t="s">
        <v>93</v>
      </c>
      <c r="D208" s="248" t="s">
        <v>958</v>
      </c>
      <c r="E208" s="249" t="s">
        <v>2413</v>
      </c>
      <c r="F208" s="249" t="s">
        <v>2414</v>
      </c>
      <c r="G208" s="250">
        <v>45</v>
      </c>
      <c r="H208" s="250">
        <v>23</v>
      </c>
      <c r="I208" s="250">
        <v>0</v>
      </c>
      <c r="J208" s="251" t="s">
        <v>2902</v>
      </c>
      <c r="K208" s="252">
        <v>10</v>
      </c>
      <c r="L208" s="250">
        <v>25</v>
      </c>
      <c r="M208" s="250">
        <v>0</v>
      </c>
      <c r="N208" s="248" t="s">
        <v>2903</v>
      </c>
      <c r="O208" s="253">
        <v>40</v>
      </c>
      <c r="P208" s="260" t="s">
        <v>206</v>
      </c>
      <c r="Q208" s="261" t="s">
        <v>1256</v>
      </c>
      <c r="R208" s="262"/>
      <c r="S208" s="263"/>
      <c r="T208" s="263" t="s">
        <v>1072</v>
      </c>
      <c r="U208" s="264">
        <v>131</v>
      </c>
      <c r="V208" s="259"/>
      <c r="W208" s="259"/>
    </row>
    <row r="209" spans="1:23" x14ac:dyDescent="0.25">
      <c r="A209" s="228" t="s">
        <v>1432</v>
      </c>
      <c r="B209" s="30" t="s">
        <v>70</v>
      </c>
      <c r="C209" s="29" t="s">
        <v>93</v>
      </c>
      <c r="D209" s="30" t="s">
        <v>958</v>
      </c>
      <c r="E209" s="29" t="s">
        <v>2413</v>
      </c>
      <c r="F209" s="29" t="s">
        <v>2414</v>
      </c>
      <c r="G209" s="31">
        <v>45</v>
      </c>
      <c r="H209" s="31">
        <v>22</v>
      </c>
      <c r="I209" s="31">
        <v>42</v>
      </c>
      <c r="J209" s="30" t="s">
        <v>2902</v>
      </c>
      <c r="K209" s="54">
        <v>10</v>
      </c>
      <c r="L209" s="31">
        <v>2</v>
      </c>
      <c r="M209" s="31">
        <v>17</v>
      </c>
      <c r="N209" s="30" t="s">
        <v>2903</v>
      </c>
      <c r="O209" s="25"/>
      <c r="P209" s="26"/>
      <c r="Q209" s="27" t="s">
        <v>2415</v>
      </c>
      <c r="R209" s="28"/>
      <c r="S209" s="28"/>
      <c r="T209" s="28" t="s">
        <v>1944</v>
      </c>
      <c r="U209" s="45" t="str">
        <f t="shared" ref="U209:U240" si="9">IF(O209&lt;&gt;"",O209*3.28,"")</f>
        <v/>
      </c>
    </row>
    <row r="210" spans="1:23" x14ac:dyDescent="0.25">
      <c r="A210" s="228" t="s">
        <v>1433</v>
      </c>
      <c r="B210" s="30" t="s">
        <v>128</v>
      </c>
      <c r="C210" s="29" t="s">
        <v>93</v>
      </c>
      <c r="D210" s="30" t="s">
        <v>958</v>
      </c>
      <c r="E210" s="29" t="s">
        <v>2390</v>
      </c>
      <c r="F210" s="29" t="s">
        <v>2391</v>
      </c>
      <c r="G210" s="31">
        <v>45</v>
      </c>
      <c r="H210" s="31">
        <v>29</v>
      </c>
      <c r="I210" s="31">
        <v>37</v>
      </c>
      <c r="J210" s="30" t="s">
        <v>2902</v>
      </c>
      <c r="K210" s="54">
        <v>10</v>
      </c>
      <c r="L210" s="31">
        <v>7</v>
      </c>
      <c r="M210" s="31">
        <v>18</v>
      </c>
      <c r="N210" s="30" t="s">
        <v>2903</v>
      </c>
      <c r="O210" s="25"/>
      <c r="P210" s="26" t="s">
        <v>204</v>
      </c>
      <c r="Q210" s="27" t="s">
        <v>2392</v>
      </c>
      <c r="R210" s="28"/>
      <c r="S210" s="28"/>
      <c r="T210" s="28" t="s">
        <v>2393</v>
      </c>
      <c r="U210" s="45" t="str">
        <f t="shared" si="9"/>
        <v/>
      </c>
    </row>
    <row r="211" spans="1:23" x14ac:dyDescent="0.25">
      <c r="A211" s="228" t="s">
        <v>1475</v>
      </c>
      <c r="B211" s="30" t="s">
        <v>124</v>
      </c>
      <c r="C211" s="29" t="s">
        <v>93</v>
      </c>
      <c r="D211" s="30" t="s">
        <v>959</v>
      </c>
      <c r="E211" s="29" t="s">
        <v>2353</v>
      </c>
      <c r="F211" s="29" t="s">
        <v>2354</v>
      </c>
      <c r="G211" s="31">
        <v>45</v>
      </c>
      <c r="H211" s="31">
        <v>46</v>
      </c>
      <c r="I211" s="31">
        <v>10</v>
      </c>
      <c r="J211" s="30" t="s">
        <v>2902</v>
      </c>
      <c r="K211" s="54">
        <v>9</v>
      </c>
      <c r="L211" s="31">
        <v>9</v>
      </c>
      <c r="M211" s="31">
        <v>40</v>
      </c>
      <c r="N211" s="30" t="s">
        <v>2903</v>
      </c>
      <c r="O211" s="25">
        <v>380</v>
      </c>
      <c r="P211" s="26" t="s">
        <v>225</v>
      </c>
      <c r="Q211" s="27" t="s">
        <v>1052</v>
      </c>
      <c r="R211" s="28" t="s">
        <v>2570</v>
      </c>
      <c r="S211" s="28"/>
      <c r="T211" s="28" t="s">
        <v>2355</v>
      </c>
      <c r="U211" s="45">
        <f t="shared" si="9"/>
        <v>1246.3999999999999</v>
      </c>
    </row>
    <row r="212" spans="1:23" x14ac:dyDescent="0.25">
      <c r="A212" s="228" t="s">
        <v>1476</v>
      </c>
      <c r="B212" s="30" t="s">
        <v>124</v>
      </c>
      <c r="C212" s="29" t="s">
        <v>93</v>
      </c>
      <c r="D212" s="30" t="s">
        <v>959</v>
      </c>
      <c r="E212" s="29" t="s">
        <v>2349</v>
      </c>
      <c r="F212" s="29" t="s">
        <v>2351</v>
      </c>
      <c r="G212" s="31">
        <v>45</v>
      </c>
      <c r="H212" s="31">
        <v>48</v>
      </c>
      <c r="I212" s="31">
        <v>50</v>
      </c>
      <c r="J212" s="30" t="s">
        <v>2902</v>
      </c>
      <c r="K212" s="54">
        <v>9</v>
      </c>
      <c r="L212" s="31">
        <v>4</v>
      </c>
      <c r="M212" s="31">
        <v>12</v>
      </c>
      <c r="N212" s="30" t="s">
        <v>2903</v>
      </c>
      <c r="O212" s="25">
        <v>202</v>
      </c>
      <c r="P212" s="26" t="s">
        <v>187</v>
      </c>
      <c r="Q212" s="27" t="s">
        <v>2350</v>
      </c>
      <c r="R212" s="28" t="s">
        <v>2606</v>
      </c>
      <c r="S212" s="28"/>
      <c r="T212" s="28" t="s">
        <v>2352</v>
      </c>
      <c r="U212" s="45">
        <f t="shared" si="9"/>
        <v>662.56</v>
      </c>
    </row>
    <row r="213" spans="1:23" x14ac:dyDescent="0.25">
      <c r="A213" s="228" t="s">
        <v>1477</v>
      </c>
      <c r="B213" s="30" t="s">
        <v>70</v>
      </c>
      <c r="C213" s="29" t="s">
        <v>93</v>
      </c>
      <c r="D213" s="30" t="s">
        <v>959</v>
      </c>
      <c r="E213" s="29" t="s">
        <v>2956</v>
      </c>
      <c r="F213" s="29" t="s">
        <v>2957</v>
      </c>
      <c r="G213" s="31">
        <v>45</v>
      </c>
      <c r="H213" s="31">
        <v>40</v>
      </c>
      <c r="I213" s="31">
        <v>33</v>
      </c>
      <c r="J213" s="30" t="s">
        <v>2902</v>
      </c>
      <c r="K213" s="54">
        <v>9</v>
      </c>
      <c r="L213" s="31">
        <v>3</v>
      </c>
      <c r="M213" s="31">
        <v>52</v>
      </c>
      <c r="N213" s="30" t="s">
        <v>2903</v>
      </c>
      <c r="O213" s="25" t="s">
        <v>221</v>
      </c>
      <c r="P213" s="26" t="s">
        <v>206</v>
      </c>
      <c r="Q213" s="27" t="s">
        <v>476</v>
      </c>
      <c r="R213" s="28"/>
      <c r="S213" s="28"/>
      <c r="T213" s="28" t="s">
        <v>2416</v>
      </c>
      <c r="U213" s="45">
        <f t="shared" si="9"/>
        <v>820</v>
      </c>
    </row>
    <row r="214" spans="1:23" x14ac:dyDescent="0.25">
      <c r="A214" s="228" t="s">
        <v>1478</v>
      </c>
      <c r="B214" s="30" t="s">
        <v>124</v>
      </c>
      <c r="C214" s="29" t="s">
        <v>93</v>
      </c>
      <c r="D214" s="30" t="s">
        <v>960</v>
      </c>
      <c r="E214" s="29" t="s">
        <v>2356</v>
      </c>
      <c r="F214" s="29" t="s">
        <v>2597</v>
      </c>
      <c r="G214" s="31">
        <v>45</v>
      </c>
      <c r="H214" s="31">
        <v>10</v>
      </c>
      <c r="I214" s="31">
        <v>0</v>
      </c>
      <c r="J214" s="30" t="s">
        <v>2902</v>
      </c>
      <c r="K214" s="54">
        <v>10</v>
      </c>
      <c r="L214" s="31">
        <v>0</v>
      </c>
      <c r="M214" s="31">
        <v>8</v>
      </c>
      <c r="N214" s="30" t="s">
        <v>2903</v>
      </c>
      <c r="O214" s="25">
        <v>50</v>
      </c>
      <c r="P214" s="26" t="s">
        <v>277</v>
      </c>
      <c r="Q214" s="27" t="s">
        <v>388</v>
      </c>
      <c r="R214" s="28" t="s">
        <v>601</v>
      </c>
      <c r="S214" s="28"/>
      <c r="T214" s="28" t="s">
        <v>2357</v>
      </c>
      <c r="U214" s="45">
        <f t="shared" si="9"/>
        <v>164</v>
      </c>
    </row>
    <row r="215" spans="1:23" x14ac:dyDescent="0.25">
      <c r="A215" s="228" t="s">
        <v>1479</v>
      </c>
      <c r="B215" s="30" t="s">
        <v>70</v>
      </c>
      <c r="C215" s="29" t="s">
        <v>93</v>
      </c>
      <c r="D215" s="30" t="s">
        <v>960</v>
      </c>
      <c r="E215" s="29" t="s">
        <v>272</v>
      </c>
      <c r="F215" s="29" t="s">
        <v>273</v>
      </c>
      <c r="G215" s="31">
        <v>45</v>
      </c>
      <c r="H215" s="31">
        <v>22</v>
      </c>
      <c r="I215" s="31">
        <v>50</v>
      </c>
      <c r="J215" s="30" t="s">
        <v>2902</v>
      </c>
      <c r="K215" s="54">
        <v>9</v>
      </c>
      <c r="L215" s="31">
        <v>32</v>
      </c>
      <c r="M215" s="31">
        <v>42</v>
      </c>
      <c r="N215" s="30" t="s">
        <v>2903</v>
      </c>
      <c r="O215" s="25" t="s">
        <v>274</v>
      </c>
      <c r="P215" s="26" t="s">
        <v>275</v>
      </c>
      <c r="Q215" s="27" t="s">
        <v>268</v>
      </c>
      <c r="R215" s="28"/>
      <c r="S215" s="28"/>
      <c r="T215" s="28" t="s">
        <v>1971</v>
      </c>
      <c r="U215" s="45">
        <f t="shared" si="9"/>
        <v>259.12</v>
      </c>
    </row>
    <row r="216" spans="1:23" x14ac:dyDescent="0.25">
      <c r="A216" s="228" t="s">
        <v>1480</v>
      </c>
      <c r="B216" s="30" t="s">
        <v>70</v>
      </c>
      <c r="C216" s="29" t="s">
        <v>93</v>
      </c>
      <c r="D216" s="30" t="s">
        <v>960</v>
      </c>
      <c r="E216" s="29" t="s">
        <v>2962</v>
      </c>
      <c r="F216" s="29" t="s">
        <v>2963</v>
      </c>
      <c r="G216" s="31">
        <v>45</v>
      </c>
      <c r="H216" s="31">
        <v>13</v>
      </c>
      <c r="I216" s="31">
        <v>16</v>
      </c>
      <c r="J216" s="30" t="s">
        <v>2902</v>
      </c>
      <c r="K216" s="54">
        <v>9</v>
      </c>
      <c r="L216" s="31">
        <v>57</v>
      </c>
      <c r="M216" s="31">
        <v>10</v>
      </c>
      <c r="N216" s="30" t="s">
        <v>2903</v>
      </c>
      <c r="O216" s="25" t="s">
        <v>266</v>
      </c>
      <c r="P216" s="26" t="s">
        <v>267</v>
      </c>
      <c r="Q216" s="27" t="s">
        <v>268</v>
      </c>
      <c r="R216" s="28"/>
      <c r="S216" s="28"/>
      <c r="T216" s="28" t="s">
        <v>1972</v>
      </c>
      <c r="U216" s="45">
        <f t="shared" si="9"/>
        <v>180.39999999999998</v>
      </c>
    </row>
    <row r="217" spans="1:23" x14ac:dyDescent="0.25">
      <c r="A217" s="228" t="s">
        <v>1544</v>
      </c>
      <c r="B217" s="30" t="s">
        <v>128</v>
      </c>
      <c r="C217" s="29" t="s">
        <v>93</v>
      </c>
      <c r="D217" s="30" t="s">
        <v>961</v>
      </c>
      <c r="E217" s="29" t="s">
        <v>2394</v>
      </c>
      <c r="F217" s="29" t="s">
        <v>2395</v>
      </c>
      <c r="G217" s="31">
        <v>45</v>
      </c>
      <c r="H217" s="31">
        <v>47</v>
      </c>
      <c r="I217" s="31">
        <v>0</v>
      </c>
      <c r="J217" s="30" t="s">
        <v>2902</v>
      </c>
      <c r="K217" s="54">
        <v>9</v>
      </c>
      <c r="L217" s="31">
        <v>26</v>
      </c>
      <c r="M217" s="31">
        <v>30</v>
      </c>
      <c r="N217" s="30" t="s">
        <v>2903</v>
      </c>
      <c r="O217" s="25">
        <v>200</v>
      </c>
      <c r="P217" s="26" t="s">
        <v>206</v>
      </c>
      <c r="Q217" s="27" t="s">
        <v>2396</v>
      </c>
      <c r="R217" s="28" t="s">
        <v>171</v>
      </c>
      <c r="S217" s="28"/>
      <c r="T217" s="28" t="s">
        <v>2397</v>
      </c>
      <c r="U217" s="45">
        <f t="shared" si="9"/>
        <v>656</v>
      </c>
    </row>
    <row r="218" spans="1:23" x14ac:dyDescent="0.25">
      <c r="A218" s="228" t="s">
        <v>1561</v>
      </c>
      <c r="B218" s="30" t="s">
        <v>128</v>
      </c>
      <c r="C218" s="29" t="s">
        <v>93</v>
      </c>
      <c r="D218" s="30" t="s">
        <v>962</v>
      </c>
      <c r="E218" s="29" t="s">
        <v>2398</v>
      </c>
      <c r="F218" s="29" t="s">
        <v>2399</v>
      </c>
      <c r="G218" s="31">
        <v>45</v>
      </c>
      <c r="H218" s="31">
        <v>13</v>
      </c>
      <c r="I218" s="31">
        <v>16</v>
      </c>
      <c r="J218" s="30" t="s">
        <v>2902</v>
      </c>
      <c r="K218" s="54">
        <v>9</v>
      </c>
      <c r="L218" s="31">
        <v>28</v>
      </c>
      <c r="M218" s="31">
        <v>0</v>
      </c>
      <c r="N218" s="30" t="s">
        <v>2903</v>
      </c>
      <c r="O218" s="25">
        <v>70</v>
      </c>
      <c r="P218" s="26" t="s">
        <v>275</v>
      </c>
      <c r="Q218" s="27" t="s">
        <v>2400</v>
      </c>
      <c r="R218" s="28" t="s">
        <v>2594</v>
      </c>
      <c r="S218" s="28"/>
      <c r="T218" s="28" t="s">
        <v>2401</v>
      </c>
      <c r="U218" s="45">
        <f t="shared" si="9"/>
        <v>229.6</v>
      </c>
    </row>
    <row r="219" spans="1:23" s="247" customFormat="1" x14ac:dyDescent="0.25">
      <c r="A219" s="228" t="s">
        <v>1562</v>
      </c>
      <c r="B219" s="30" t="s">
        <v>128</v>
      </c>
      <c r="C219" s="29" t="s">
        <v>93</v>
      </c>
      <c r="D219" s="30" t="s">
        <v>962</v>
      </c>
      <c r="E219" s="29" t="s">
        <v>269</v>
      </c>
      <c r="F219" s="29" t="s">
        <v>269</v>
      </c>
      <c r="G219" s="31">
        <v>45</v>
      </c>
      <c r="H219" s="31">
        <v>21</v>
      </c>
      <c r="I219" s="31">
        <v>38</v>
      </c>
      <c r="J219" s="30" t="s">
        <v>2902</v>
      </c>
      <c r="K219" s="54">
        <v>9</v>
      </c>
      <c r="L219" s="31">
        <v>34</v>
      </c>
      <c r="M219" s="31">
        <v>20</v>
      </c>
      <c r="N219" s="30" t="s">
        <v>2903</v>
      </c>
      <c r="O219" s="25" t="s">
        <v>270</v>
      </c>
      <c r="P219" s="26" t="s">
        <v>206</v>
      </c>
      <c r="Q219" s="27" t="s">
        <v>271</v>
      </c>
      <c r="R219" s="28"/>
      <c r="S219" s="28"/>
      <c r="T219" s="28" t="s">
        <v>1975</v>
      </c>
      <c r="U219" s="45">
        <f t="shared" si="9"/>
        <v>262.39999999999998</v>
      </c>
      <c r="V219" s="8"/>
      <c r="W219" s="8"/>
    </row>
    <row r="220" spans="1:23" s="247" customFormat="1" x14ac:dyDescent="0.25">
      <c r="A220" s="228" t="s">
        <v>1563</v>
      </c>
      <c r="B220" s="30" t="s">
        <v>70</v>
      </c>
      <c r="C220" s="29" t="s">
        <v>93</v>
      </c>
      <c r="D220" s="30" t="s">
        <v>962</v>
      </c>
      <c r="E220" s="29" t="s">
        <v>2417</v>
      </c>
      <c r="F220" s="29" t="s">
        <v>2418</v>
      </c>
      <c r="G220" s="31">
        <v>45</v>
      </c>
      <c r="H220" s="31">
        <v>7</v>
      </c>
      <c r="I220" s="31">
        <v>15</v>
      </c>
      <c r="J220" s="30" t="s">
        <v>2902</v>
      </c>
      <c r="K220" s="54">
        <v>9</v>
      </c>
      <c r="L220" s="31">
        <v>42</v>
      </c>
      <c r="M220" s="31">
        <v>29</v>
      </c>
      <c r="N220" s="30" t="s">
        <v>2903</v>
      </c>
      <c r="O220" s="25">
        <v>50</v>
      </c>
      <c r="P220" s="26" t="s">
        <v>342</v>
      </c>
      <c r="Q220" s="27" t="s">
        <v>207</v>
      </c>
      <c r="R220" s="28"/>
      <c r="S220" s="28"/>
      <c r="T220" s="28" t="s">
        <v>2419</v>
      </c>
      <c r="U220" s="45">
        <f t="shared" si="9"/>
        <v>164</v>
      </c>
      <c r="V220" s="8"/>
      <c r="W220" s="8"/>
    </row>
    <row r="221" spans="1:23" x14ac:dyDescent="0.25">
      <c r="A221" s="228" t="s">
        <v>1583</v>
      </c>
      <c r="B221" s="30" t="s">
        <v>70</v>
      </c>
      <c r="C221" s="29" t="s">
        <v>93</v>
      </c>
      <c r="D221" s="30" t="s">
        <v>864</v>
      </c>
      <c r="E221" s="29" t="s">
        <v>2420</v>
      </c>
      <c r="F221" s="29" t="s">
        <v>2421</v>
      </c>
      <c r="G221" s="31">
        <v>45</v>
      </c>
      <c r="H221" s="31">
        <v>36</v>
      </c>
      <c r="I221" s="31">
        <v>32</v>
      </c>
      <c r="J221" s="30" t="s">
        <v>2902</v>
      </c>
      <c r="K221" s="54">
        <v>9</v>
      </c>
      <c r="L221" s="31">
        <v>26</v>
      </c>
      <c r="M221" s="31">
        <v>0</v>
      </c>
      <c r="N221" s="30" t="s">
        <v>2903</v>
      </c>
      <c r="O221" s="25">
        <v>200</v>
      </c>
      <c r="P221" s="26" t="s">
        <v>206</v>
      </c>
      <c r="Q221" s="27" t="s">
        <v>218</v>
      </c>
      <c r="R221" s="28"/>
      <c r="S221" s="28"/>
      <c r="T221" s="28" t="s">
        <v>2422</v>
      </c>
      <c r="U221" s="45">
        <f t="shared" si="9"/>
        <v>656</v>
      </c>
    </row>
    <row r="222" spans="1:23" x14ac:dyDescent="0.25">
      <c r="A222" s="228" t="s">
        <v>1584</v>
      </c>
      <c r="B222" s="30" t="s">
        <v>124</v>
      </c>
      <c r="C222" s="29" t="s">
        <v>93</v>
      </c>
      <c r="D222" s="30" t="s">
        <v>864</v>
      </c>
      <c r="E222" s="29" t="s">
        <v>2358</v>
      </c>
      <c r="F222" s="29" t="s">
        <v>2359</v>
      </c>
      <c r="G222" s="31">
        <v>45</v>
      </c>
      <c r="H222" s="31">
        <v>32</v>
      </c>
      <c r="I222" s="31">
        <v>26</v>
      </c>
      <c r="J222" s="30" t="s">
        <v>2902</v>
      </c>
      <c r="K222" s="54">
        <v>9</v>
      </c>
      <c r="L222" s="31">
        <v>12</v>
      </c>
      <c r="M222" s="31">
        <v>8</v>
      </c>
      <c r="N222" s="30" t="s">
        <v>2903</v>
      </c>
      <c r="O222" s="25">
        <v>150</v>
      </c>
      <c r="P222" s="26" t="s">
        <v>206</v>
      </c>
      <c r="Q222" s="27" t="s">
        <v>2870</v>
      </c>
      <c r="R222" s="28" t="s">
        <v>2600</v>
      </c>
      <c r="S222" s="28"/>
      <c r="T222" s="28" t="s">
        <v>2360</v>
      </c>
      <c r="U222" s="45">
        <f t="shared" si="9"/>
        <v>491.99999999999994</v>
      </c>
    </row>
    <row r="223" spans="1:23" x14ac:dyDescent="0.25">
      <c r="A223" s="228" t="s">
        <v>1585</v>
      </c>
      <c r="B223" s="30" t="s">
        <v>70</v>
      </c>
      <c r="C223" s="29" t="s">
        <v>93</v>
      </c>
      <c r="D223" s="30" t="s">
        <v>864</v>
      </c>
      <c r="E223" s="29" t="s">
        <v>3007</v>
      </c>
      <c r="F223" s="29" t="s">
        <v>3008</v>
      </c>
      <c r="G223" s="31">
        <v>45</v>
      </c>
      <c r="H223" s="31">
        <v>31</v>
      </c>
      <c r="I223" s="31">
        <v>55</v>
      </c>
      <c r="J223" s="30" t="s">
        <v>2902</v>
      </c>
      <c r="K223" s="54">
        <v>8</v>
      </c>
      <c r="L223" s="31">
        <v>53</v>
      </c>
      <c r="M223" s="31">
        <v>59</v>
      </c>
      <c r="N223" s="30" t="s">
        <v>2903</v>
      </c>
      <c r="O223" s="25" t="s">
        <v>490</v>
      </c>
      <c r="P223" s="26" t="s">
        <v>214</v>
      </c>
      <c r="Q223" s="27" t="s">
        <v>424</v>
      </c>
      <c r="R223" s="28"/>
      <c r="S223" s="28"/>
      <c r="T223" s="28" t="s">
        <v>1973</v>
      </c>
      <c r="U223" s="45">
        <f t="shared" si="9"/>
        <v>557.6</v>
      </c>
    </row>
    <row r="224" spans="1:23" x14ac:dyDescent="0.25">
      <c r="A224" s="228" t="s">
        <v>1586</v>
      </c>
      <c r="B224" s="30" t="s">
        <v>128</v>
      </c>
      <c r="C224" s="29" t="s">
        <v>93</v>
      </c>
      <c r="D224" s="30" t="s">
        <v>864</v>
      </c>
      <c r="E224" s="29" t="s">
        <v>3009</v>
      </c>
      <c r="F224" s="29" t="s">
        <v>3010</v>
      </c>
      <c r="G224" s="31">
        <v>45</v>
      </c>
      <c r="H224" s="31">
        <v>33</v>
      </c>
      <c r="I224" s="31">
        <v>16</v>
      </c>
      <c r="J224" s="30" t="s">
        <v>2902</v>
      </c>
      <c r="K224" s="54">
        <v>9</v>
      </c>
      <c r="L224" s="31">
        <v>30</v>
      </c>
      <c r="M224" s="31">
        <v>10</v>
      </c>
      <c r="N224" s="30" t="s">
        <v>2903</v>
      </c>
      <c r="O224" s="25" t="s">
        <v>289</v>
      </c>
      <c r="P224" s="26" t="s">
        <v>277</v>
      </c>
      <c r="Q224" s="27" t="s">
        <v>264</v>
      </c>
      <c r="R224" s="28"/>
      <c r="S224" s="28"/>
      <c r="T224" s="28" t="s">
        <v>2104</v>
      </c>
      <c r="U224" s="45">
        <f t="shared" si="9"/>
        <v>488.71999999999997</v>
      </c>
    </row>
    <row r="225" spans="1:21" x14ac:dyDescent="0.25">
      <c r="A225" s="228" t="s">
        <v>1587</v>
      </c>
      <c r="B225" s="30" t="s">
        <v>70</v>
      </c>
      <c r="C225" s="29" t="s">
        <v>93</v>
      </c>
      <c r="D225" s="30" t="s">
        <v>864</v>
      </c>
      <c r="E225" s="29" t="s">
        <v>2423</v>
      </c>
      <c r="F225" s="29" t="s">
        <v>2424</v>
      </c>
      <c r="G225" s="31">
        <v>45</v>
      </c>
      <c r="H225" s="31">
        <v>26</v>
      </c>
      <c r="I225" s="31">
        <v>58</v>
      </c>
      <c r="J225" s="30" t="s">
        <v>2902</v>
      </c>
      <c r="K225" s="54">
        <v>8</v>
      </c>
      <c r="L225" s="31">
        <v>59</v>
      </c>
      <c r="M225" s="31">
        <v>55</v>
      </c>
      <c r="N225" s="30" t="s">
        <v>2903</v>
      </c>
      <c r="O225" s="25">
        <v>100</v>
      </c>
      <c r="P225" s="26" t="s">
        <v>206</v>
      </c>
      <c r="Q225" s="27" t="s">
        <v>2425</v>
      </c>
      <c r="R225" s="28"/>
      <c r="S225" s="28"/>
      <c r="T225" s="28" t="s">
        <v>2426</v>
      </c>
      <c r="U225" s="45">
        <f t="shared" si="9"/>
        <v>328</v>
      </c>
    </row>
    <row r="226" spans="1:21" x14ac:dyDescent="0.25">
      <c r="A226" s="228" t="s">
        <v>1588</v>
      </c>
      <c r="B226" s="30" t="s">
        <v>124</v>
      </c>
      <c r="C226" s="29" t="s">
        <v>93</v>
      </c>
      <c r="D226" s="30" t="s">
        <v>864</v>
      </c>
      <c r="E226" s="29" t="s">
        <v>2361</v>
      </c>
      <c r="F226" s="29" t="s">
        <v>2365</v>
      </c>
      <c r="G226" s="31">
        <v>45</v>
      </c>
      <c r="H226" s="31">
        <v>26</v>
      </c>
      <c r="I226" s="31">
        <v>55</v>
      </c>
      <c r="J226" s="30" t="s">
        <v>2902</v>
      </c>
      <c r="K226" s="54">
        <v>9</v>
      </c>
      <c r="L226" s="31">
        <v>16</v>
      </c>
      <c r="M226" s="31">
        <v>43</v>
      </c>
      <c r="N226" s="30" t="s">
        <v>2903</v>
      </c>
      <c r="O226" s="25">
        <v>100</v>
      </c>
      <c r="P226" s="26" t="s">
        <v>206</v>
      </c>
      <c r="Q226" s="27" t="s">
        <v>2871</v>
      </c>
      <c r="R226" s="28" t="s">
        <v>2853</v>
      </c>
      <c r="S226" s="28"/>
      <c r="T226" s="28" t="s">
        <v>2366</v>
      </c>
      <c r="U226" s="45">
        <f t="shared" si="9"/>
        <v>328</v>
      </c>
    </row>
    <row r="227" spans="1:21" x14ac:dyDescent="0.25">
      <c r="A227" s="228" t="s">
        <v>1589</v>
      </c>
      <c r="B227" s="30" t="s">
        <v>124</v>
      </c>
      <c r="C227" s="29" t="s">
        <v>93</v>
      </c>
      <c r="D227" s="30" t="s">
        <v>864</v>
      </c>
      <c r="E227" s="29" t="s">
        <v>2361</v>
      </c>
      <c r="F227" s="29" t="s">
        <v>2367</v>
      </c>
      <c r="G227" s="31">
        <v>45</v>
      </c>
      <c r="H227" s="31">
        <v>38</v>
      </c>
      <c r="I227" s="31">
        <v>1</v>
      </c>
      <c r="J227" s="30" t="s">
        <v>2902</v>
      </c>
      <c r="K227" s="54">
        <v>8</v>
      </c>
      <c r="L227" s="31">
        <v>43</v>
      </c>
      <c r="M227" s="31">
        <v>51</v>
      </c>
      <c r="N227" s="30" t="s">
        <v>2903</v>
      </c>
      <c r="O227" s="25">
        <v>230</v>
      </c>
      <c r="P227" s="26" t="s">
        <v>214</v>
      </c>
      <c r="Q227" s="27" t="s">
        <v>2872</v>
      </c>
      <c r="R227" s="28" t="s">
        <v>2593</v>
      </c>
      <c r="S227" s="28"/>
      <c r="T227" s="28" t="s">
        <v>2366</v>
      </c>
      <c r="U227" s="45">
        <f t="shared" si="9"/>
        <v>754.4</v>
      </c>
    </row>
    <row r="228" spans="1:21" x14ac:dyDescent="0.25">
      <c r="A228" s="230" t="s">
        <v>1590</v>
      </c>
      <c r="B228" s="30" t="s">
        <v>128</v>
      </c>
      <c r="C228" s="29" t="s">
        <v>93</v>
      </c>
      <c r="D228" s="50" t="s">
        <v>864</v>
      </c>
      <c r="E228" s="34" t="s">
        <v>3011</v>
      </c>
      <c r="F228" s="34" t="s">
        <v>3012</v>
      </c>
      <c r="G228" s="35">
        <v>45</v>
      </c>
      <c r="H228" s="35">
        <v>21</v>
      </c>
      <c r="I228" s="35">
        <v>39</v>
      </c>
      <c r="J228" s="30" t="s">
        <v>2902</v>
      </c>
      <c r="K228" s="55">
        <v>9</v>
      </c>
      <c r="L228" s="35">
        <v>0</v>
      </c>
      <c r="M228" s="35">
        <v>57</v>
      </c>
      <c r="N228" s="30" t="s">
        <v>2903</v>
      </c>
      <c r="O228" s="36">
        <v>110</v>
      </c>
      <c r="P228" s="26" t="s">
        <v>275</v>
      </c>
      <c r="Q228" s="27" t="s">
        <v>226</v>
      </c>
      <c r="R228" s="28" t="s">
        <v>171</v>
      </c>
      <c r="S228" s="28"/>
      <c r="T228" s="28" t="s">
        <v>573</v>
      </c>
      <c r="U228" s="45">
        <f t="shared" si="9"/>
        <v>360.79999999999995</v>
      </c>
    </row>
    <row r="229" spans="1:21" x14ac:dyDescent="0.25">
      <c r="A229" s="228" t="s">
        <v>1591</v>
      </c>
      <c r="B229" s="30" t="s">
        <v>70</v>
      </c>
      <c r="C229" s="29" t="s">
        <v>93</v>
      </c>
      <c r="D229" s="30" t="s">
        <v>864</v>
      </c>
      <c r="E229" s="29" t="s">
        <v>2427</v>
      </c>
      <c r="F229" s="29" t="s">
        <v>619</v>
      </c>
      <c r="G229" s="31">
        <v>45</v>
      </c>
      <c r="H229" s="31">
        <v>22</v>
      </c>
      <c r="I229" s="31">
        <v>23</v>
      </c>
      <c r="J229" s="30" t="s">
        <v>2902</v>
      </c>
      <c r="K229" s="54">
        <v>9</v>
      </c>
      <c r="L229" s="31">
        <v>4</v>
      </c>
      <c r="M229" s="31">
        <v>36</v>
      </c>
      <c r="N229" s="30" t="s">
        <v>2903</v>
      </c>
      <c r="O229" s="25" t="s">
        <v>278</v>
      </c>
      <c r="P229" s="26" t="s">
        <v>275</v>
      </c>
      <c r="Q229" s="27" t="s">
        <v>271</v>
      </c>
      <c r="R229" s="28"/>
      <c r="S229" s="28"/>
      <c r="T229" s="28" t="s">
        <v>1974</v>
      </c>
      <c r="U229" s="45">
        <f t="shared" si="9"/>
        <v>360.79999999999995</v>
      </c>
    </row>
    <row r="230" spans="1:21" x14ac:dyDescent="0.25">
      <c r="A230" s="228" t="s">
        <v>1593</v>
      </c>
      <c r="B230" s="30" t="s">
        <v>70</v>
      </c>
      <c r="C230" s="29" t="s">
        <v>93</v>
      </c>
      <c r="D230" s="30" t="s">
        <v>865</v>
      </c>
      <c r="E230" s="29" t="s">
        <v>2428</v>
      </c>
      <c r="F230" s="29" t="s">
        <v>2429</v>
      </c>
      <c r="G230" s="31">
        <v>45</v>
      </c>
      <c r="H230" s="31">
        <v>20</v>
      </c>
      <c r="I230" s="31">
        <v>22</v>
      </c>
      <c r="J230" s="30" t="s">
        <v>2902</v>
      </c>
      <c r="K230" s="54">
        <v>10</v>
      </c>
      <c r="L230" s="31">
        <v>29</v>
      </c>
      <c r="M230" s="31">
        <v>6</v>
      </c>
      <c r="N230" s="30" t="s">
        <v>2903</v>
      </c>
      <c r="O230" s="25"/>
      <c r="P230" s="26" t="s">
        <v>267</v>
      </c>
      <c r="Q230" s="27" t="s">
        <v>256</v>
      </c>
      <c r="R230" s="28"/>
      <c r="S230" s="28"/>
      <c r="T230" s="28" t="s">
        <v>1945</v>
      </c>
      <c r="U230" s="45" t="str">
        <f t="shared" si="9"/>
        <v/>
      </c>
    </row>
    <row r="231" spans="1:21" x14ac:dyDescent="0.25">
      <c r="A231" s="228" t="s">
        <v>1594</v>
      </c>
      <c r="B231" s="30" t="s">
        <v>128</v>
      </c>
      <c r="C231" s="29" t="s">
        <v>93</v>
      </c>
      <c r="D231" s="30" t="s">
        <v>865</v>
      </c>
      <c r="E231" s="29" t="s">
        <v>3000</v>
      </c>
      <c r="F231" s="29" t="s">
        <v>3000</v>
      </c>
      <c r="G231" s="31">
        <v>45</v>
      </c>
      <c r="H231" s="31">
        <v>15</v>
      </c>
      <c r="I231" s="31">
        <v>53</v>
      </c>
      <c r="J231" s="30" t="s">
        <v>2902</v>
      </c>
      <c r="K231" s="54">
        <v>10</v>
      </c>
      <c r="L231" s="31">
        <v>35</v>
      </c>
      <c r="M231" s="31">
        <v>0</v>
      </c>
      <c r="N231" s="30" t="s">
        <v>2903</v>
      </c>
      <c r="O231" s="25" t="s">
        <v>257</v>
      </c>
      <c r="P231" s="26" t="s">
        <v>342</v>
      </c>
      <c r="Q231" s="27" t="s">
        <v>541</v>
      </c>
      <c r="R231" s="28" t="s">
        <v>171</v>
      </c>
      <c r="S231" s="28"/>
      <c r="T231" s="28" t="s">
        <v>2190</v>
      </c>
      <c r="U231" s="45">
        <f t="shared" si="9"/>
        <v>196.79999999999998</v>
      </c>
    </row>
    <row r="232" spans="1:21" x14ac:dyDescent="0.25">
      <c r="A232" s="228" t="s">
        <v>1595</v>
      </c>
      <c r="B232" s="30" t="s">
        <v>128</v>
      </c>
      <c r="C232" s="29" t="s">
        <v>93</v>
      </c>
      <c r="D232" s="30" t="s">
        <v>865</v>
      </c>
      <c r="E232" s="29" t="s">
        <v>3001</v>
      </c>
      <c r="F232" s="29" t="s">
        <v>2011</v>
      </c>
      <c r="G232" s="31">
        <v>45</v>
      </c>
      <c r="H232" s="31">
        <v>6</v>
      </c>
      <c r="I232" s="31">
        <v>0</v>
      </c>
      <c r="J232" s="30" t="s">
        <v>2902</v>
      </c>
      <c r="K232" s="54">
        <v>10</v>
      </c>
      <c r="L232" s="31">
        <v>45</v>
      </c>
      <c r="M232" s="31">
        <v>16</v>
      </c>
      <c r="N232" s="30" t="s">
        <v>2903</v>
      </c>
      <c r="O232" s="25" t="s">
        <v>276</v>
      </c>
      <c r="P232" s="26" t="s">
        <v>277</v>
      </c>
      <c r="Q232" s="27" t="s">
        <v>226</v>
      </c>
      <c r="R232" s="28"/>
      <c r="S232" s="28"/>
      <c r="T232" s="28" t="s">
        <v>1976</v>
      </c>
      <c r="U232" s="45">
        <f t="shared" si="9"/>
        <v>72.16</v>
      </c>
    </row>
    <row r="233" spans="1:21" x14ac:dyDescent="0.25">
      <c r="A233" s="228" t="s">
        <v>1596</v>
      </c>
      <c r="B233" s="30" t="s">
        <v>70</v>
      </c>
      <c r="C233" s="29" t="s">
        <v>93</v>
      </c>
      <c r="D233" s="30" t="s">
        <v>865</v>
      </c>
      <c r="E233" s="29" t="s">
        <v>3001</v>
      </c>
      <c r="F233" s="29" t="s">
        <v>2430</v>
      </c>
      <c r="G233" s="31">
        <v>45</v>
      </c>
      <c r="H233" s="31">
        <v>5</v>
      </c>
      <c r="I233" s="31">
        <v>14</v>
      </c>
      <c r="J233" s="30" t="s">
        <v>2902</v>
      </c>
      <c r="K233" s="54">
        <v>10</v>
      </c>
      <c r="L233" s="31">
        <v>44</v>
      </c>
      <c r="M233" s="31">
        <v>0</v>
      </c>
      <c r="N233" s="30" t="s">
        <v>2903</v>
      </c>
      <c r="O233" s="25"/>
      <c r="P233" s="26" t="s">
        <v>267</v>
      </c>
      <c r="Q233" s="27" t="s">
        <v>453</v>
      </c>
      <c r="R233" s="28"/>
      <c r="S233" s="28"/>
      <c r="T233" s="28" t="s">
        <v>2431</v>
      </c>
      <c r="U233" s="45" t="str">
        <f t="shared" si="9"/>
        <v/>
      </c>
    </row>
    <row r="234" spans="1:21" x14ac:dyDescent="0.25">
      <c r="A234" s="228" t="s">
        <v>1597</v>
      </c>
      <c r="B234" s="30" t="s">
        <v>70</v>
      </c>
      <c r="C234" s="29" t="s">
        <v>93</v>
      </c>
      <c r="D234" s="30" t="s">
        <v>865</v>
      </c>
      <c r="E234" s="29" t="s">
        <v>3001</v>
      </c>
      <c r="F234" s="29" t="s">
        <v>2432</v>
      </c>
      <c r="G234" s="31">
        <v>45</v>
      </c>
      <c r="H234" s="31">
        <v>8</v>
      </c>
      <c r="I234" s="31">
        <v>6</v>
      </c>
      <c r="J234" s="30" t="s">
        <v>2902</v>
      </c>
      <c r="K234" s="54">
        <v>10</v>
      </c>
      <c r="L234" s="31">
        <v>41</v>
      </c>
      <c r="M234" s="31">
        <v>38</v>
      </c>
      <c r="N234" s="30" t="s">
        <v>2903</v>
      </c>
      <c r="O234" s="25"/>
      <c r="P234" s="26" t="s">
        <v>267</v>
      </c>
      <c r="Q234" s="27" t="s">
        <v>306</v>
      </c>
      <c r="R234" s="28"/>
      <c r="S234" s="28"/>
      <c r="T234" s="28" t="s">
        <v>2433</v>
      </c>
      <c r="U234" s="45" t="str">
        <f t="shared" si="9"/>
        <v/>
      </c>
    </row>
    <row r="235" spans="1:21" x14ac:dyDescent="0.25">
      <c r="A235" s="228" t="s">
        <v>1598</v>
      </c>
      <c r="B235" s="30" t="s">
        <v>124</v>
      </c>
      <c r="C235" s="29" t="s">
        <v>93</v>
      </c>
      <c r="D235" s="30" t="s">
        <v>865</v>
      </c>
      <c r="E235" s="29" t="s">
        <v>2368</v>
      </c>
      <c r="F235" s="29" t="s">
        <v>2369</v>
      </c>
      <c r="G235" s="31">
        <v>45</v>
      </c>
      <c r="H235" s="31">
        <v>8</v>
      </c>
      <c r="I235" s="31">
        <v>7</v>
      </c>
      <c r="J235" s="30" t="s">
        <v>2902</v>
      </c>
      <c r="K235" s="54">
        <v>10</v>
      </c>
      <c r="L235" s="31">
        <v>47</v>
      </c>
      <c r="M235" s="31">
        <v>41</v>
      </c>
      <c r="N235" s="30" t="s">
        <v>2903</v>
      </c>
      <c r="O235" s="25"/>
      <c r="P235" s="26" t="s">
        <v>225</v>
      </c>
      <c r="Q235" s="27" t="s">
        <v>2370</v>
      </c>
      <c r="R235" s="28" t="s">
        <v>2552</v>
      </c>
      <c r="S235" s="28"/>
      <c r="T235" s="28" t="s">
        <v>2371</v>
      </c>
      <c r="U235" s="45" t="str">
        <f t="shared" si="9"/>
        <v/>
      </c>
    </row>
    <row r="236" spans="1:21" x14ac:dyDescent="0.25">
      <c r="A236" s="228" t="s">
        <v>1599</v>
      </c>
      <c r="B236" s="30" t="s">
        <v>70</v>
      </c>
      <c r="C236" s="29" t="s">
        <v>93</v>
      </c>
      <c r="D236" s="30" t="s">
        <v>865</v>
      </c>
      <c r="E236" s="29" t="s">
        <v>2434</v>
      </c>
      <c r="F236" s="29" t="s">
        <v>2435</v>
      </c>
      <c r="G236" s="31">
        <v>45</v>
      </c>
      <c r="H236" s="31">
        <v>21</v>
      </c>
      <c r="I236" s="31">
        <v>25</v>
      </c>
      <c r="J236" s="30" t="s">
        <v>2902</v>
      </c>
      <c r="K236" s="54">
        <v>10</v>
      </c>
      <c r="L236" s="31">
        <v>39</v>
      </c>
      <c r="M236" s="31">
        <v>32</v>
      </c>
      <c r="N236" s="30" t="s">
        <v>2903</v>
      </c>
      <c r="O236" s="25">
        <v>60</v>
      </c>
      <c r="P236" s="26" t="s">
        <v>330</v>
      </c>
      <c r="Q236" s="27" t="s">
        <v>2436</v>
      </c>
      <c r="R236" s="28" t="s">
        <v>461</v>
      </c>
      <c r="S236" s="28"/>
      <c r="T236" s="28" t="s">
        <v>2437</v>
      </c>
      <c r="U236" s="45">
        <f t="shared" si="9"/>
        <v>196.79999999999998</v>
      </c>
    </row>
    <row r="237" spans="1:21" x14ac:dyDescent="0.25">
      <c r="A237" s="228" t="s">
        <v>1600</v>
      </c>
      <c r="B237" s="30" t="s">
        <v>70</v>
      </c>
      <c r="C237" s="29" t="s">
        <v>93</v>
      </c>
      <c r="D237" s="30" t="s">
        <v>865</v>
      </c>
      <c r="E237" s="29" t="s">
        <v>2438</v>
      </c>
      <c r="F237" s="29" t="s">
        <v>2439</v>
      </c>
      <c r="G237" s="31">
        <v>45</v>
      </c>
      <c r="H237" s="31">
        <v>6</v>
      </c>
      <c r="I237" s="31">
        <v>32</v>
      </c>
      <c r="J237" s="30" t="s">
        <v>2902</v>
      </c>
      <c r="K237" s="54">
        <v>10</v>
      </c>
      <c r="L237" s="31">
        <v>59</v>
      </c>
      <c r="M237" s="31">
        <v>36</v>
      </c>
      <c r="N237" s="30" t="s">
        <v>2903</v>
      </c>
      <c r="O237" s="25"/>
      <c r="P237" s="26" t="s">
        <v>342</v>
      </c>
      <c r="Q237" s="27" t="s">
        <v>362</v>
      </c>
      <c r="R237" s="28"/>
      <c r="S237" s="28"/>
      <c r="T237" s="28" t="s">
        <v>2440</v>
      </c>
      <c r="U237" s="45" t="str">
        <f t="shared" si="9"/>
        <v/>
      </c>
    </row>
    <row r="238" spans="1:21" x14ac:dyDescent="0.25">
      <c r="A238" s="228" t="s">
        <v>1601</v>
      </c>
      <c r="B238" s="30" t="s">
        <v>70</v>
      </c>
      <c r="C238" s="29" t="s">
        <v>93</v>
      </c>
      <c r="D238" s="30" t="s">
        <v>865</v>
      </c>
      <c r="E238" s="29" t="s">
        <v>2595</v>
      </c>
      <c r="F238" s="29" t="s">
        <v>2595</v>
      </c>
      <c r="G238" s="31">
        <v>45</v>
      </c>
      <c r="H238" s="31">
        <v>10</v>
      </c>
      <c r="I238" s="31">
        <v>30</v>
      </c>
      <c r="J238" s="30" t="s">
        <v>2902</v>
      </c>
      <c r="K238" s="54">
        <v>10</v>
      </c>
      <c r="L238" s="31">
        <v>51</v>
      </c>
      <c r="M238" s="31">
        <v>54</v>
      </c>
      <c r="N238" s="30" t="s">
        <v>2903</v>
      </c>
      <c r="O238" s="25"/>
      <c r="P238" s="26" t="s">
        <v>238</v>
      </c>
      <c r="Q238" s="27" t="s">
        <v>527</v>
      </c>
      <c r="R238" s="28"/>
      <c r="S238" s="28"/>
      <c r="T238" s="28" t="s">
        <v>2596</v>
      </c>
      <c r="U238" s="45" t="str">
        <f t="shared" si="9"/>
        <v/>
      </c>
    </row>
    <row r="239" spans="1:21" x14ac:dyDescent="0.25">
      <c r="A239" s="228" t="s">
        <v>1602</v>
      </c>
      <c r="B239" s="30" t="s">
        <v>70</v>
      </c>
      <c r="C239" s="29" t="s">
        <v>93</v>
      </c>
      <c r="D239" s="30" t="s">
        <v>865</v>
      </c>
      <c r="E239" s="29" t="s">
        <v>639</v>
      </c>
      <c r="F239" s="29" t="s">
        <v>1301</v>
      </c>
      <c r="G239" s="31">
        <v>45</v>
      </c>
      <c r="H239" s="31">
        <v>0</v>
      </c>
      <c r="I239" s="31">
        <v>54</v>
      </c>
      <c r="J239" s="30" t="s">
        <v>2902</v>
      </c>
      <c r="K239" s="54">
        <v>10</v>
      </c>
      <c r="L239" s="31">
        <v>30</v>
      </c>
      <c r="M239" s="31">
        <v>37</v>
      </c>
      <c r="N239" s="30" t="s">
        <v>2903</v>
      </c>
      <c r="O239" s="25" t="s">
        <v>385</v>
      </c>
      <c r="P239" s="26" t="s">
        <v>342</v>
      </c>
      <c r="Q239" s="27" t="s">
        <v>640</v>
      </c>
      <c r="R239" s="28" t="s">
        <v>171</v>
      </c>
      <c r="S239" s="28"/>
      <c r="T239" s="28" t="s">
        <v>2441</v>
      </c>
      <c r="U239" s="45">
        <f t="shared" si="9"/>
        <v>82</v>
      </c>
    </row>
    <row r="240" spans="1:21" x14ac:dyDescent="0.25">
      <c r="A240" s="228" t="s">
        <v>1603</v>
      </c>
      <c r="B240" s="30" t="s">
        <v>70</v>
      </c>
      <c r="C240" s="29" t="s">
        <v>93</v>
      </c>
      <c r="D240" s="30" t="s">
        <v>865</v>
      </c>
      <c r="E240" s="29" t="s">
        <v>3002</v>
      </c>
      <c r="F240" s="29" t="s">
        <v>3003</v>
      </c>
      <c r="G240" s="31">
        <v>45</v>
      </c>
      <c r="H240" s="31">
        <v>0</v>
      </c>
      <c r="I240" s="31">
        <v>15</v>
      </c>
      <c r="J240" s="30" t="s">
        <v>2902</v>
      </c>
      <c r="K240" s="54">
        <v>10</v>
      </c>
      <c r="L240" s="31">
        <v>43</v>
      </c>
      <c r="M240" s="31">
        <v>6</v>
      </c>
      <c r="N240" s="30" t="s">
        <v>2903</v>
      </c>
      <c r="O240" s="25" t="s">
        <v>228</v>
      </c>
      <c r="P240" s="26" t="s">
        <v>247</v>
      </c>
      <c r="Q240" s="27" t="s">
        <v>287</v>
      </c>
      <c r="R240" s="28" t="s">
        <v>2587</v>
      </c>
      <c r="S240" s="28"/>
      <c r="T240" s="28" t="s">
        <v>288</v>
      </c>
      <c r="U240" s="45">
        <f t="shared" si="9"/>
        <v>65.599999999999994</v>
      </c>
    </row>
    <row r="241" spans="1:23" x14ac:dyDescent="0.25">
      <c r="A241" s="228" t="s">
        <v>1708</v>
      </c>
      <c r="B241" s="30" t="s">
        <v>128</v>
      </c>
      <c r="C241" s="29" t="s">
        <v>93</v>
      </c>
      <c r="D241" s="30" t="s">
        <v>866</v>
      </c>
      <c r="E241" s="29" t="s">
        <v>3040</v>
      </c>
      <c r="F241" s="29" t="s">
        <v>3041</v>
      </c>
      <c r="G241" s="31">
        <v>45</v>
      </c>
      <c r="H241" s="31">
        <v>4</v>
      </c>
      <c r="I241" s="31">
        <v>20</v>
      </c>
      <c r="J241" s="30" t="s">
        <v>2902</v>
      </c>
      <c r="K241" s="54">
        <v>8</v>
      </c>
      <c r="L241" s="31">
        <v>50</v>
      </c>
      <c r="M241" s="31">
        <v>34</v>
      </c>
      <c r="N241" s="30" t="s">
        <v>2903</v>
      </c>
      <c r="O241" s="25" t="s">
        <v>193</v>
      </c>
      <c r="P241" s="26" t="s">
        <v>194</v>
      </c>
      <c r="Q241" s="27" t="s">
        <v>200</v>
      </c>
      <c r="R241" s="28" t="s">
        <v>2592</v>
      </c>
      <c r="S241" s="28"/>
      <c r="T241" s="28" t="s">
        <v>201</v>
      </c>
      <c r="U241" s="45">
        <f t="shared" ref="U241:U265" si="10">IF(O241&lt;&gt;"",O241*3.28,"")</f>
        <v>459.2</v>
      </c>
    </row>
    <row r="242" spans="1:23" x14ac:dyDescent="0.25">
      <c r="A242" s="228" t="s">
        <v>1709</v>
      </c>
      <c r="B242" s="30" t="s">
        <v>128</v>
      </c>
      <c r="C242" s="29" t="s">
        <v>93</v>
      </c>
      <c r="D242" s="30" t="s">
        <v>866</v>
      </c>
      <c r="E242" s="29" t="s">
        <v>202</v>
      </c>
      <c r="F242" s="29" t="s">
        <v>2012</v>
      </c>
      <c r="G242" s="31">
        <v>45</v>
      </c>
      <c r="H242" s="31">
        <v>7</v>
      </c>
      <c r="I242" s="31">
        <v>57</v>
      </c>
      <c r="J242" s="30" t="s">
        <v>2902</v>
      </c>
      <c r="K242" s="54">
        <v>9</v>
      </c>
      <c r="L242" s="31">
        <v>21</v>
      </c>
      <c r="M242" s="31">
        <v>36</v>
      </c>
      <c r="N242" s="30" t="s">
        <v>2903</v>
      </c>
      <c r="O242" s="25" t="s">
        <v>203</v>
      </c>
      <c r="P242" s="26" t="s">
        <v>204</v>
      </c>
      <c r="Q242" s="27" t="s">
        <v>166</v>
      </c>
      <c r="R242" s="28" t="s">
        <v>171</v>
      </c>
      <c r="S242" s="28"/>
      <c r="T242" s="28" t="s">
        <v>2191</v>
      </c>
      <c r="U242" s="45">
        <f t="shared" si="10"/>
        <v>426.4</v>
      </c>
    </row>
    <row r="243" spans="1:23" s="247" customFormat="1" x14ac:dyDescent="0.25">
      <c r="A243" s="228" t="s">
        <v>1710</v>
      </c>
      <c r="B243" s="30" t="s">
        <v>128</v>
      </c>
      <c r="C243" s="29" t="s">
        <v>93</v>
      </c>
      <c r="D243" s="30" t="s">
        <v>866</v>
      </c>
      <c r="E243" s="29" t="s">
        <v>2402</v>
      </c>
      <c r="F243" s="29" t="s">
        <v>2403</v>
      </c>
      <c r="G243" s="31">
        <v>45</v>
      </c>
      <c r="H243" s="31">
        <v>16</v>
      </c>
      <c r="I243" s="31">
        <v>13</v>
      </c>
      <c r="J243" s="30" t="s">
        <v>2902</v>
      </c>
      <c r="K243" s="54">
        <v>9</v>
      </c>
      <c r="L243" s="31">
        <v>15</v>
      </c>
      <c r="M243" s="31">
        <v>41</v>
      </c>
      <c r="N243" s="30" t="s">
        <v>2903</v>
      </c>
      <c r="O243" s="25"/>
      <c r="P243" s="26"/>
      <c r="Q243" s="27" t="s">
        <v>2874</v>
      </c>
      <c r="R243" s="28"/>
      <c r="S243" s="28"/>
      <c r="T243" s="28" t="s">
        <v>2404</v>
      </c>
      <c r="U243" s="45" t="str">
        <f t="shared" si="10"/>
        <v/>
      </c>
      <c r="V243" s="8"/>
      <c r="W243" s="8"/>
    </row>
    <row r="244" spans="1:23" x14ac:dyDescent="0.25">
      <c r="A244" s="228" t="s">
        <v>1711</v>
      </c>
      <c r="B244" s="30" t="s">
        <v>70</v>
      </c>
      <c r="C244" s="29" t="s">
        <v>93</v>
      </c>
      <c r="D244" s="30" t="s">
        <v>866</v>
      </c>
      <c r="E244" s="29" t="s">
        <v>3042</v>
      </c>
      <c r="F244" s="29" t="s">
        <v>2014</v>
      </c>
      <c r="G244" s="31">
        <v>45</v>
      </c>
      <c r="H244" s="31">
        <v>9</v>
      </c>
      <c r="I244" s="31">
        <v>20</v>
      </c>
      <c r="J244" s="30" t="s">
        <v>2902</v>
      </c>
      <c r="K244" s="54">
        <v>8</v>
      </c>
      <c r="L244" s="31">
        <v>39</v>
      </c>
      <c r="M244" s="31">
        <v>39</v>
      </c>
      <c r="N244" s="30" t="s">
        <v>2903</v>
      </c>
      <c r="O244" s="25" t="s">
        <v>517</v>
      </c>
      <c r="P244" s="26" t="s">
        <v>238</v>
      </c>
      <c r="Q244" s="27" t="s">
        <v>604</v>
      </c>
      <c r="R244" s="28"/>
      <c r="S244" s="28"/>
      <c r="T244" s="28" t="s">
        <v>1977</v>
      </c>
      <c r="U244" s="45">
        <f t="shared" si="10"/>
        <v>377.2</v>
      </c>
    </row>
    <row r="245" spans="1:23" x14ac:dyDescent="0.25">
      <c r="A245" s="228" t="s">
        <v>1712</v>
      </c>
      <c r="B245" s="30" t="s">
        <v>128</v>
      </c>
      <c r="C245" s="29" t="s">
        <v>93</v>
      </c>
      <c r="D245" s="30" t="s">
        <v>866</v>
      </c>
      <c r="E245" s="29" t="s">
        <v>3043</v>
      </c>
      <c r="F245" s="29" t="s">
        <v>3044</v>
      </c>
      <c r="G245" s="31">
        <v>45</v>
      </c>
      <c r="H245" s="31">
        <v>17</v>
      </c>
      <c r="I245" s="31">
        <v>48</v>
      </c>
      <c r="J245" s="30" t="s">
        <v>2902</v>
      </c>
      <c r="K245" s="54">
        <v>8</v>
      </c>
      <c r="L245" s="31">
        <v>49</v>
      </c>
      <c r="M245" s="31">
        <v>0</v>
      </c>
      <c r="N245" s="30" t="s">
        <v>2903</v>
      </c>
      <c r="O245" s="25" t="s">
        <v>278</v>
      </c>
      <c r="P245" s="26" t="s">
        <v>279</v>
      </c>
      <c r="Q245" s="27" t="s">
        <v>280</v>
      </c>
      <c r="R245" s="28"/>
      <c r="S245" s="28"/>
      <c r="T245" s="28" t="s">
        <v>2105</v>
      </c>
      <c r="U245" s="45">
        <f t="shared" si="10"/>
        <v>360.79999999999995</v>
      </c>
    </row>
    <row r="246" spans="1:23" x14ac:dyDescent="0.25">
      <c r="A246" s="228" t="s">
        <v>1713</v>
      </c>
      <c r="B246" s="30" t="s">
        <v>128</v>
      </c>
      <c r="C246" s="29" t="s">
        <v>93</v>
      </c>
      <c r="D246" s="30" t="s">
        <v>866</v>
      </c>
      <c r="E246" s="29" t="s">
        <v>3043</v>
      </c>
      <c r="F246" s="29" t="s">
        <v>2013</v>
      </c>
      <c r="G246" s="31">
        <v>45</v>
      </c>
      <c r="H246" s="31">
        <v>20</v>
      </c>
      <c r="I246" s="31">
        <v>5</v>
      </c>
      <c r="J246" s="30" t="s">
        <v>2902</v>
      </c>
      <c r="K246" s="54">
        <v>8</v>
      </c>
      <c r="L246" s="31">
        <v>49</v>
      </c>
      <c r="M246" s="31">
        <v>29</v>
      </c>
      <c r="N246" s="30" t="s">
        <v>2903</v>
      </c>
      <c r="O246" s="25" t="s">
        <v>458</v>
      </c>
      <c r="P246" s="26" t="s">
        <v>214</v>
      </c>
      <c r="Q246" s="27" t="s">
        <v>241</v>
      </c>
      <c r="R246" s="28" t="s">
        <v>171</v>
      </c>
      <c r="S246" s="28"/>
      <c r="T246" s="28" t="s">
        <v>2106</v>
      </c>
      <c r="U246" s="45">
        <f t="shared" si="10"/>
        <v>380.47999999999996</v>
      </c>
    </row>
    <row r="247" spans="1:23" x14ac:dyDescent="0.25">
      <c r="A247" s="228" t="s">
        <v>1714</v>
      </c>
      <c r="B247" s="30" t="s">
        <v>124</v>
      </c>
      <c r="C247" s="29" t="s">
        <v>93</v>
      </c>
      <c r="D247" s="30" t="s">
        <v>866</v>
      </c>
      <c r="E247" s="29" t="s">
        <v>2372</v>
      </c>
      <c r="F247" s="29" t="s">
        <v>2373</v>
      </c>
      <c r="G247" s="31">
        <v>44</v>
      </c>
      <c r="H247" s="31">
        <v>58</v>
      </c>
      <c r="I247" s="31">
        <v>0</v>
      </c>
      <c r="J247" s="30" t="s">
        <v>2902</v>
      </c>
      <c r="K247" s="54">
        <v>9</v>
      </c>
      <c r="L247" s="31">
        <v>0</v>
      </c>
      <c r="M247" s="31">
        <v>30</v>
      </c>
      <c r="N247" s="30" t="s">
        <v>2903</v>
      </c>
      <c r="O247" s="25">
        <v>120</v>
      </c>
      <c r="P247" s="26" t="s">
        <v>275</v>
      </c>
      <c r="Q247" s="27" t="s">
        <v>365</v>
      </c>
      <c r="R247" s="28" t="s">
        <v>479</v>
      </c>
      <c r="S247" s="28"/>
      <c r="T247" s="28" t="s">
        <v>2374</v>
      </c>
      <c r="U247" s="45">
        <f t="shared" si="10"/>
        <v>393.59999999999997</v>
      </c>
    </row>
    <row r="248" spans="1:23" x14ac:dyDescent="0.25">
      <c r="A248" s="228" t="s">
        <v>1715</v>
      </c>
      <c r="B248" s="30" t="s">
        <v>70</v>
      </c>
      <c r="C248" s="29" t="s">
        <v>93</v>
      </c>
      <c r="D248" s="30" t="s">
        <v>866</v>
      </c>
      <c r="E248" s="29" t="s">
        <v>3045</v>
      </c>
      <c r="F248" s="29" t="s">
        <v>701</v>
      </c>
      <c r="G248" s="31">
        <v>45</v>
      </c>
      <c r="H248" s="31">
        <v>11</v>
      </c>
      <c r="I248" s="31">
        <v>11</v>
      </c>
      <c r="J248" s="30" t="s">
        <v>2902</v>
      </c>
      <c r="K248" s="54">
        <v>9</v>
      </c>
      <c r="L248" s="31">
        <v>2</v>
      </c>
      <c r="M248" s="31">
        <v>42</v>
      </c>
      <c r="N248" s="30" t="s">
        <v>2903</v>
      </c>
      <c r="O248" s="25" t="s">
        <v>522</v>
      </c>
      <c r="P248" s="26" t="s">
        <v>267</v>
      </c>
      <c r="Q248" s="27" t="s">
        <v>143</v>
      </c>
      <c r="R248" s="28"/>
      <c r="S248" s="28"/>
      <c r="T248" s="28" t="s">
        <v>2195</v>
      </c>
      <c r="U248" s="45">
        <f t="shared" si="10"/>
        <v>272.24</v>
      </c>
    </row>
    <row r="249" spans="1:23" x14ac:dyDescent="0.25">
      <c r="A249" s="228" t="s">
        <v>1773</v>
      </c>
      <c r="B249" s="30" t="s">
        <v>70</v>
      </c>
      <c r="C249" s="29" t="s">
        <v>93</v>
      </c>
      <c r="D249" s="30" t="s">
        <v>867</v>
      </c>
      <c r="E249" s="29" t="s">
        <v>583</v>
      </c>
      <c r="F249" s="29" t="s">
        <v>584</v>
      </c>
      <c r="G249" s="31">
        <v>46</v>
      </c>
      <c r="H249" s="31">
        <v>14</v>
      </c>
      <c r="I249" s="31">
        <v>10</v>
      </c>
      <c r="J249" s="30" t="s">
        <v>2902</v>
      </c>
      <c r="K249" s="54">
        <v>9</v>
      </c>
      <c r="L249" s="31">
        <v>25</v>
      </c>
      <c r="M249" s="31">
        <v>52</v>
      </c>
      <c r="N249" s="30" t="s">
        <v>2903</v>
      </c>
      <c r="O249" s="25" t="s">
        <v>585</v>
      </c>
      <c r="P249" s="26" t="s">
        <v>232</v>
      </c>
      <c r="Q249" s="27" t="s">
        <v>141</v>
      </c>
      <c r="R249" s="28"/>
      <c r="S249" s="28"/>
      <c r="T249" s="28" t="s">
        <v>1978</v>
      </c>
      <c r="U249" s="45">
        <f t="shared" si="10"/>
        <v>688.8</v>
      </c>
    </row>
    <row r="250" spans="1:23" s="247" customFormat="1" x14ac:dyDescent="0.25">
      <c r="A250" s="228" t="s">
        <v>1774</v>
      </c>
      <c r="B250" s="30" t="s">
        <v>128</v>
      </c>
      <c r="C250" s="29" t="s">
        <v>93</v>
      </c>
      <c r="D250" s="30" t="s">
        <v>867</v>
      </c>
      <c r="E250" s="29" t="s">
        <v>19</v>
      </c>
      <c r="F250" s="29" t="s">
        <v>2015</v>
      </c>
      <c r="G250" s="31">
        <v>46</v>
      </c>
      <c r="H250" s="31">
        <v>9</v>
      </c>
      <c r="I250" s="31">
        <v>0</v>
      </c>
      <c r="J250" s="30" t="s">
        <v>2902</v>
      </c>
      <c r="K250" s="54">
        <v>9</v>
      </c>
      <c r="L250" s="31">
        <v>43</v>
      </c>
      <c r="M250" s="31">
        <v>0</v>
      </c>
      <c r="N250" s="30" t="s">
        <v>2903</v>
      </c>
      <c r="O250" s="25" t="s">
        <v>380</v>
      </c>
      <c r="P250" s="26" t="s">
        <v>204</v>
      </c>
      <c r="Q250" s="27" t="s">
        <v>586</v>
      </c>
      <c r="R250" s="28" t="s">
        <v>587</v>
      </c>
      <c r="S250" s="28"/>
      <c r="T250" s="28" t="s">
        <v>2192</v>
      </c>
      <c r="U250" s="45">
        <f t="shared" si="10"/>
        <v>983.99999999999989</v>
      </c>
      <c r="V250" s="8"/>
      <c r="W250" s="8"/>
    </row>
    <row r="251" spans="1:23" x14ac:dyDescent="0.25">
      <c r="A251" s="228" t="s">
        <v>1775</v>
      </c>
      <c r="B251" s="30" t="s">
        <v>70</v>
      </c>
      <c r="C251" s="29" t="s">
        <v>93</v>
      </c>
      <c r="D251" s="30" t="s">
        <v>867</v>
      </c>
      <c r="E251" s="29" t="s">
        <v>2337</v>
      </c>
      <c r="F251" s="29" t="s">
        <v>2338</v>
      </c>
      <c r="G251" s="31">
        <v>46</v>
      </c>
      <c r="H251" s="31">
        <v>9</v>
      </c>
      <c r="I251" s="31">
        <v>23</v>
      </c>
      <c r="J251" s="30" t="s">
        <v>2902</v>
      </c>
      <c r="K251" s="54">
        <v>10</v>
      </c>
      <c r="L251" s="31">
        <v>4</v>
      </c>
      <c r="M251" s="31">
        <v>25</v>
      </c>
      <c r="N251" s="30" t="s">
        <v>2903</v>
      </c>
      <c r="O251" s="25" t="s">
        <v>526</v>
      </c>
      <c r="P251" s="26" t="s">
        <v>204</v>
      </c>
      <c r="Q251" s="27" t="s">
        <v>527</v>
      </c>
      <c r="R251" s="28"/>
      <c r="S251" s="28"/>
      <c r="T251" s="28" t="s">
        <v>2339</v>
      </c>
      <c r="U251" s="45">
        <f t="shared" si="10"/>
        <v>1640</v>
      </c>
    </row>
    <row r="252" spans="1:23" x14ac:dyDescent="0.25">
      <c r="A252" s="228" t="s">
        <v>1862</v>
      </c>
      <c r="B252" s="30" t="s">
        <v>124</v>
      </c>
      <c r="C252" s="29" t="s">
        <v>93</v>
      </c>
      <c r="D252" s="30" t="s">
        <v>868</v>
      </c>
      <c r="E252" s="29" t="s">
        <v>2375</v>
      </c>
      <c r="F252" s="29" t="s">
        <v>2376</v>
      </c>
      <c r="G252" s="31">
        <v>45</v>
      </c>
      <c r="H252" s="31">
        <v>48</v>
      </c>
      <c r="I252" s="31">
        <v>33</v>
      </c>
      <c r="J252" s="30" t="s">
        <v>2902</v>
      </c>
      <c r="K252" s="54">
        <v>8</v>
      </c>
      <c r="L252" s="31">
        <v>46</v>
      </c>
      <c r="M252" s="31">
        <v>6</v>
      </c>
      <c r="N252" s="30" t="s">
        <v>2903</v>
      </c>
      <c r="O252" s="25">
        <v>240</v>
      </c>
      <c r="P252" s="26" t="s">
        <v>267</v>
      </c>
      <c r="Q252" s="27" t="s">
        <v>2377</v>
      </c>
      <c r="R252" s="28" t="s">
        <v>2570</v>
      </c>
      <c r="S252" s="28"/>
      <c r="T252" s="28" t="s">
        <v>2378</v>
      </c>
      <c r="U252" s="45">
        <f t="shared" si="10"/>
        <v>787.19999999999993</v>
      </c>
    </row>
    <row r="253" spans="1:23" x14ac:dyDescent="0.25">
      <c r="A253" s="228" t="s">
        <v>1863</v>
      </c>
      <c r="B253" s="30" t="s">
        <v>70</v>
      </c>
      <c r="C253" s="29" t="s">
        <v>93</v>
      </c>
      <c r="D253" s="30" t="s">
        <v>868</v>
      </c>
      <c r="E253" s="29" t="s">
        <v>2442</v>
      </c>
      <c r="F253" s="29" t="s">
        <v>2443</v>
      </c>
      <c r="G253" s="31">
        <v>45</v>
      </c>
      <c r="H253" s="31">
        <v>36</v>
      </c>
      <c r="I253" s="31">
        <v>25</v>
      </c>
      <c r="J253" s="30" t="s">
        <v>2902</v>
      </c>
      <c r="K253" s="54">
        <v>9</v>
      </c>
      <c r="L253" s="31">
        <v>1</v>
      </c>
      <c r="M253" s="31">
        <v>58</v>
      </c>
      <c r="N253" s="30" t="s">
        <v>2903</v>
      </c>
      <c r="O253" s="25"/>
      <c r="P253" s="26" t="s">
        <v>206</v>
      </c>
      <c r="Q253" s="27" t="s">
        <v>2444</v>
      </c>
      <c r="R253" s="28"/>
      <c r="S253" s="28"/>
      <c r="T253" s="28" t="s">
        <v>2445</v>
      </c>
      <c r="U253" s="45" t="str">
        <f t="shared" si="10"/>
        <v/>
      </c>
    </row>
    <row r="254" spans="1:23" x14ac:dyDescent="0.25">
      <c r="A254" s="228" t="s">
        <v>1864</v>
      </c>
      <c r="B254" s="30" t="s">
        <v>70</v>
      </c>
      <c r="C254" s="29" t="s">
        <v>93</v>
      </c>
      <c r="D254" s="30" t="s">
        <v>868</v>
      </c>
      <c r="E254" s="29" t="s">
        <v>2446</v>
      </c>
      <c r="F254" s="29" t="s">
        <v>2447</v>
      </c>
      <c r="G254" s="31">
        <v>45</v>
      </c>
      <c r="H254" s="31">
        <v>41</v>
      </c>
      <c r="I254" s="31">
        <v>31</v>
      </c>
      <c r="J254" s="30" t="s">
        <v>2902</v>
      </c>
      <c r="K254" s="54">
        <v>8</v>
      </c>
      <c r="L254" s="31">
        <v>49</v>
      </c>
      <c r="M254" s="31">
        <v>30</v>
      </c>
      <c r="N254" s="30" t="s">
        <v>2903</v>
      </c>
      <c r="O254" s="25"/>
      <c r="P254" s="26" t="s">
        <v>275</v>
      </c>
      <c r="Q254" s="27" t="s">
        <v>287</v>
      </c>
      <c r="R254" s="28"/>
      <c r="S254" s="28"/>
      <c r="T254" s="28" t="s">
        <v>2448</v>
      </c>
      <c r="U254" s="45" t="str">
        <f t="shared" si="10"/>
        <v/>
      </c>
    </row>
    <row r="255" spans="1:23" x14ac:dyDescent="0.25">
      <c r="A255" s="228" t="s">
        <v>1865</v>
      </c>
      <c r="B255" s="30" t="s">
        <v>124</v>
      </c>
      <c r="C255" s="29" t="s">
        <v>93</v>
      </c>
      <c r="D255" s="30" t="s">
        <v>868</v>
      </c>
      <c r="E255" s="29" t="s">
        <v>2379</v>
      </c>
      <c r="F255" s="29" t="s">
        <v>2380</v>
      </c>
      <c r="G255" s="31">
        <v>45</v>
      </c>
      <c r="H255" s="31">
        <v>44</v>
      </c>
      <c r="I255" s="31">
        <v>26</v>
      </c>
      <c r="J255" s="30" t="s">
        <v>2902</v>
      </c>
      <c r="K255" s="54">
        <v>8</v>
      </c>
      <c r="L255" s="31">
        <v>53</v>
      </c>
      <c r="M255" s="31">
        <v>13</v>
      </c>
      <c r="N255" s="30" t="s">
        <v>2903</v>
      </c>
      <c r="O255" s="25">
        <v>320</v>
      </c>
      <c r="P255" s="26" t="s">
        <v>206</v>
      </c>
      <c r="Q255" s="27" t="s">
        <v>2873</v>
      </c>
      <c r="R255" s="28" t="s">
        <v>2602</v>
      </c>
      <c r="S255" s="28"/>
      <c r="T255" s="28" t="s">
        <v>2381</v>
      </c>
      <c r="U255" s="45">
        <f t="shared" si="10"/>
        <v>1049.5999999999999</v>
      </c>
    </row>
    <row r="256" spans="1:23" x14ac:dyDescent="0.25">
      <c r="A256" s="228" t="s">
        <v>1866</v>
      </c>
      <c r="B256" s="30" t="s">
        <v>124</v>
      </c>
      <c r="C256" s="29" t="s">
        <v>93</v>
      </c>
      <c r="D256" s="30" t="s">
        <v>868</v>
      </c>
      <c r="E256" s="29" t="s">
        <v>2382</v>
      </c>
      <c r="F256" s="29" t="s">
        <v>2383</v>
      </c>
      <c r="G256" s="31">
        <v>45</v>
      </c>
      <c r="H256" s="31">
        <v>42</v>
      </c>
      <c r="I256" s="31">
        <v>45</v>
      </c>
      <c r="J256" s="30" t="s">
        <v>2902</v>
      </c>
      <c r="K256" s="54">
        <v>8</v>
      </c>
      <c r="L256" s="31">
        <v>41</v>
      </c>
      <c r="M256" s="31">
        <v>58</v>
      </c>
      <c r="N256" s="30" t="s">
        <v>2903</v>
      </c>
      <c r="O256" s="25">
        <v>263</v>
      </c>
      <c r="P256" s="26" t="s">
        <v>275</v>
      </c>
      <c r="Q256" s="27" t="s">
        <v>442</v>
      </c>
      <c r="R256" s="28" t="s">
        <v>2607</v>
      </c>
      <c r="S256" s="28"/>
      <c r="T256" s="28" t="s">
        <v>2384</v>
      </c>
      <c r="U256" s="45">
        <f t="shared" si="10"/>
        <v>862.64</v>
      </c>
    </row>
    <row r="257" spans="1:23" x14ac:dyDescent="0.25">
      <c r="A257" s="230" t="s">
        <v>1362</v>
      </c>
      <c r="B257" s="50" t="s">
        <v>124</v>
      </c>
      <c r="C257" s="34" t="s">
        <v>79</v>
      </c>
      <c r="D257" s="50" t="s">
        <v>869</v>
      </c>
      <c r="E257" s="34" t="s">
        <v>185</v>
      </c>
      <c r="F257" s="34" t="s">
        <v>126</v>
      </c>
      <c r="G257" s="35">
        <v>43</v>
      </c>
      <c r="H257" s="35">
        <v>36</v>
      </c>
      <c r="I257" s="35">
        <v>55</v>
      </c>
      <c r="J257" s="143" t="s">
        <v>2902</v>
      </c>
      <c r="K257" s="55">
        <v>13</v>
      </c>
      <c r="L257" s="35">
        <v>21</v>
      </c>
      <c r="M257" s="35">
        <v>45</v>
      </c>
      <c r="N257" s="143" t="s">
        <v>2903</v>
      </c>
      <c r="O257" s="36">
        <v>15</v>
      </c>
      <c r="P257" s="26" t="s">
        <v>194</v>
      </c>
      <c r="Q257" s="27" t="s">
        <v>2869</v>
      </c>
      <c r="R257" s="28" t="s">
        <v>2543</v>
      </c>
      <c r="S257" s="28"/>
      <c r="T257" s="28" t="s">
        <v>125</v>
      </c>
      <c r="U257" s="45">
        <f t="shared" si="10"/>
        <v>49.199999999999996</v>
      </c>
    </row>
    <row r="258" spans="1:23" x14ac:dyDescent="0.25">
      <c r="A258" s="228" t="s">
        <v>1363</v>
      </c>
      <c r="B258" s="30" t="s">
        <v>70</v>
      </c>
      <c r="C258" s="29" t="s">
        <v>79</v>
      </c>
      <c r="D258" s="30" t="s">
        <v>869</v>
      </c>
      <c r="E258" s="34" t="s">
        <v>144</v>
      </c>
      <c r="F258" s="29" t="s">
        <v>2906</v>
      </c>
      <c r="G258" s="31">
        <v>43</v>
      </c>
      <c r="H258" s="31">
        <v>30</v>
      </c>
      <c r="I258" s="31">
        <v>28</v>
      </c>
      <c r="J258" s="30" t="s">
        <v>2902</v>
      </c>
      <c r="K258" s="54">
        <v>13</v>
      </c>
      <c r="L258" s="31">
        <v>11</v>
      </c>
      <c r="M258" s="31">
        <v>22</v>
      </c>
      <c r="N258" s="30" t="s">
        <v>2903</v>
      </c>
      <c r="O258" s="25" t="s">
        <v>250</v>
      </c>
      <c r="P258" s="26" t="s">
        <v>191</v>
      </c>
      <c r="Q258" s="27" t="s">
        <v>376</v>
      </c>
      <c r="R258" s="28" t="s">
        <v>2542</v>
      </c>
      <c r="S258" s="28"/>
      <c r="T258" s="28" t="s">
        <v>1012</v>
      </c>
      <c r="U258" s="45">
        <f t="shared" si="10"/>
        <v>328</v>
      </c>
    </row>
    <row r="259" spans="1:23" x14ac:dyDescent="0.25">
      <c r="A259" s="228" t="s">
        <v>1364</v>
      </c>
      <c r="B259" s="30" t="s">
        <v>128</v>
      </c>
      <c r="C259" s="29" t="s">
        <v>79</v>
      </c>
      <c r="D259" s="30" t="s">
        <v>869</v>
      </c>
      <c r="E259" s="29" t="s">
        <v>2548</v>
      </c>
      <c r="F259" s="29" t="s">
        <v>2549</v>
      </c>
      <c r="G259" s="31">
        <v>43</v>
      </c>
      <c r="H259" s="31">
        <v>28</v>
      </c>
      <c r="I259" s="31">
        <v>13</v>
      </c>
      <c r="J259" s="30" t="s">
        <v>2902</v>
      </c>
      <c r="K259" s="54">
        <v>13</v>
      </c>
      <c r="L259" s="31">
        <v>11</v>
      </c>
      <c r="M259" s="31">
        <v>12</v>
      </c>
      <c r="N259" s="30" t="s">
        <v>2903</v>
      </c>
      <c r="O259" s="25">
        <v>130</v>
      </c>
      <c r="P259" s="26" t="s">
        <v>258</v>
      </c>
      <c r="Q259" s="27" t="s">
        <v>137</v>
      </c>
      <c r="R259" s="28" t="s">
        <v>2482</v>
      </c>
      <c r="S259" s="28"/>
      <c r="T259" s="28" t="s">
        <v>572</v>
      </c>
      <c r="U259" s="45">
        <f t="shared" si="10"/>
        <v>426.4</v>
      </c>
    </row>
    <row r="260" spans="1:23" x14ac:dyDescent="0.25">
      <c r="A260" s="228" t="s">
        <v>1365</v>
      </c>
      <c r="B260" s="30" t="s">
        <v>70</v>
      </c>
      <c r="C260" s="29" t="s">
        <v>79</v>
      </c>
      <c r="D260" s="30" t="s">
        <v>869</v>
      </c>
      <c r="E260" s="29" t="s">
        <v>2907</v>
      </c>
      <c r="F260" s="29" t="s">
        <v>2908</v>
      </c>
      <c r="G260" s="31">
        <v>43</v>
      </c>
      <c r="H260" s="31">
        <v>44</v>
      </c>
      <c r="I260" s="31">
        <v>16</v>
      </c>
      <c r="J260" s="30" t="s">
        <v>2902</v>
      </c>
      <c r="K260" s="54">
        <v>13</v>
      </c>
      <c r="L260" s="31">
        <v>10</v>
      </c>
      <c r="M260" s="31">
        <v>38</v>
      </c>
      <c r="N260" s="30" t="s">
        <v>2903</v>
      </c>
      <c r="O260" s="25" t="s">
        <v>498</v>
      </c>
      <c r="P260" s="26" t="s">
        <v>194</v>
      </c>
      <c r="Q260" s="27" t="s">
        <v>146</v>
      </c>
      <c r="R260" s="28"/>
      <c r="S260" s="28"/>
      <c r="T260" s="28" t="s">
        <v>1013</v>
      </c>
      <c r="U260" s="45">
        <f t="shared" si="10"/>
        <v>26.24</v>
      </c>
    </row>
    <row r="261" spans="1:23" x14ac:dyDescent="0.25">
      <c r="A261" s="228" t="s">
        <v>1368</v>
      </c>
      <c r="B261" s="30" t="s">
        <v>128</v>
      </c>
      <c r="C261" s="29" t="s">
        <v>79</v>
      </c>
      <c r="D261" s="30" t="s">
        <v>870</v>
      </c>
      <c r="E261" s="29" t="s">
        <v>129</v>
      </c>
      <c r="F261" s="29" t="s">
        <v>130</v>
      </c>
      <c r="G261" s="31">
        <v>43</v>
      </c>
      <c r="H261" s="31">
        <v>6</v>
      </c>
      <c r="I261" s="31">
        <v>18</v>
      </c>
      <c r="J261" s="30" t="s">
        <v>2902</v>
      </c>
      <c r="K261" s="54">
        <v>13</v>
      </c>
      <c r="L261" s="31">
        <v>33</v>
      </c>
      <c r="M261" s="31">
        <v>3</v>
      </c>
      <c r="N261" s="30" t="s">
        <v>2903</v>
      </c>
      <c r="O261" s="25" t="s">
        <v>377</v>
      </c>
      <c r="P261" s="26" t="s">
        <v>238</v>
      </c>
      <c r="Q261" s="27" t="s">
        <v>131</v>
      </c>
      <c r="R261" s="28" t="s">
        <v>171</v>
      </c>
      <c r="S261" s="28"/>
      <c r="T261" s="28" t="s">
        <v>2196</v>
      </c>
      <c r="U261" s="45">
        <f t="shared" si="10"/>
        <v>393.59999999999997</v>
      </c>
    </row>
    <row r="262" spans="1:23" x14ac:dyDescent="0.25">
      <c r="A262" s="228" t="s">
        <v>1369</v>
      </c>
      <c r="B262" s="30" t="s">
        <v>70</v>
      </c>
      <c r="C262" s="29" t="s">
        <v>79</v>
      </c>
      <c r="D262" s="30" t="s">
        <v>870</v>
      </c>
      <c r="E262" s="29" t="s">
        <v>2544</v>
      </c>
      <c r="F262" s="29" t="s">
        <v>2545</v>
      </c>
      <c r="G262" s="31">
        <v>43</v>
      </c>
      <c r="H262" s="31">
        <v>3</v>
      </c>
      <c r="I262" s="31">
        <v>28</v>
      </c>
      <c r="J262" s="30" t="s">
        <v>2902</v>
      </c>
      <c r="K262" s="54">
        <v>13</v>
      </c>
      <c r="L262" s="31">
        <v>34</v>
      </c>
      <c r="M262" s="31">
        <v>30</v>
      </c>
      <c r="N262" s="30" t="s">
        <v>2903</v>
      </c>
      <c r="O262" s="25">
        <v>70</v>
      </c>
      <c r="P262" s="26" t="s">
        <v>275</v>
      </c>
      <c r="Q262" s="27" t="s">
        <v>2546</v>
      </c>
      <c r="R262" s="28"/>
      <c r="S262" s="28"/>
      <c r="T262" s="28" t="s">
        <v>2547</v>
      </c>
      <c r="U262" s="45">
        <f t="shared" si="10"/>
        <v>229.6</v>
      </c>
    </row>
    <row r="263" spans="1:23" x14ac:dyDescent="0.25">
      <c r="A263" s="228" t="s">
        <v>1575</v>
      </c>
      <c r="B263" s="30" t="s">
        <v>128</v>
      </c>
      <c r="C263" s="29" t="s">
        <v>79</v>
      </c>
      <c r="D263" s="30" t="s">
        <v>871</v>
      </c>
      <c r="E263" s="29" t="s">
        <v>132</v>
      </c>
      <c r="F263" s="34" t="s">
        <v>133</v>
      </c>
      <c r="G263" s="31">
        <v>43</v>
      </c>
      <c r="H263" s="31">
        <v>15</v>
      </c>
      <c r="I263" s="31">
        <v>42</v>
      </c>
      <c r="J263" s="30" t="s">
        <v>2902</v>
      </c>
      <c r="K263" s="54">
        <v>13</v>
      </c>
      <c r="L263" s="31">
        <v>33</v>
      </c>
      <c r="M263" s="31">
        <v>32</v>
      </c>
      <c r="N263" s="30" t="s">
        <v>2903</v>
      </c>
      <c r="O263" s="25" t="s">
        <v>559</v>
      </c>
      <c r="P263" s="26" t="s">
        <v>204</v>
      </c>
      <c r="Q263" s="27" t="s">
        <v>520</v>
      </c>
      <c r="R263" s="28" t="s">
        <v>171</v>
      </c>
      <c r="S263" s="28"/>
      <c r="T263" s="28" t="s">
        <v>2107</v>
      </c>
      <c r="U263" s="45">
        <f t="shared" si="10"/>
        <v>245.99999999999997</v>
      </c>
    </row>
    <row r="264" spans="1:23" x14ac:dyDescent="0.25">
      <c r="A264" s="228" t="s">
        <v>1576</v>
      </c>
      <c r="B264" s="30" t="s">
        <v>128</v>
      </c>
      <c r="C264" s="29" t="s">
        <v>79</v>
      </c>
      <c r="D264" s="30" t="s">
        <v>871</v>
      </c>
      <c r="E264" s="29" t="s">
        <v>2998</v>
      </c>
      <c r="F264" s="34" t="s">
        <v>135</v>
      </c>
      <c r="G264" s="31">
        <v>43</v>
      </c>
      <c r="H264" s="31">
        <v>21</v>
      </c>
      <c r="I264" s="31">
        <v>0</v>
      </c>
      <c r="J264" s="30" t="s">
        <v>2902</v>
      </c>
      <c r="K264" s="54">
        <v>13</v>
      </c>
      <c r="L264" s="31">
        <v>27</v>
      </c>
      <c r="M264" s="31">
        <v>0</v>
      </c>
      <c r="N264" s="30" t="s">
        <v>2903</v>
      </c>
      <c r="O264" s="25" t="s">
        <v>377</v>
      </c>
      <c r="P264" s="26" t="s">
        <v>342</v>
      </c>
      <c r="Q264" s="27" t="s">
        <v>136</v>
      </c>
      <c r="R264" s="28" t="s">
        <v>171</v>
      </c>
      <c r="S264" s="28"/>
      <c r="T264" s="28" t="s">
        <v>1010</v>
      </c>
      <c r="U264" s="45">
        <f t="shared" si="10"/>
        <v>393.59999999999997</v>
      </c>
    </row>
    <row r="265" spans="1:23" x14ac:dyDescent="0.25">
      <c r="A265" s="230" t="s">
        <v>1577</v>
      </c>
      <c r="B265" s="30" t="s">
        <v>70</v>
      </c>
      <c r="C265" s="29" t="s">
        <v>79</v>
      </c>
      <c r="D265" s="30" t="s">
        <v>871</v>
      </c>
      <c r="E265" s="29" t="s">
        <v>2999</v>
      </c>
      <c r="F265" s="34" t="s">
        <v>181</v>
      </c>
      <c r="G265" s="31">
        <v>43</v>
      </c>
      <c r="H265" s="31">
        <v>25</v>
      </c>
      <c r="I265" s="31">
        <v>25</v>
      </c>
      <c r="J265" s="30" t="s">
        <v>2902</v>
      </c>
      <c r="K265" s="54">
        <v>13</v>
      </c>
      <c r="L265" s="31">
        <v>23</v>
      </c>
      <c r="M265" s="31">
        <v>59</v>
      </c>
      <c r="N265" s="30" t="s">
        <v>2903</v>
      </c>
      <c r="O265" s="25" t="s">
        <v>448</v>
      </c>
      <c r="P265" s="26" t="s">
        <v>191</v>
      </c>
      <c r="Q265" s="27" t="s">
        <v>143</v>
      </c>
      <c r="R265" s="28" t="s">
        <v>171</v>
      </c>
      <c r="S265" s="28"/>
      <c r="T265" s="28" t="s">
        <v>1014</v>
      </c>
      <c r="U265" s="45">
        <f t="shared" si="10"/>
        <v>249.27999999999997</v>
      </c>
    </row>
    <row r="266" spans="1:23" x14ac:dyDescent="0.25">
      <c r="A266" s="229" t="s">
        <v>1578</v>
      </c>
      <c r="B266" s="248" t="s">
        <v>70</v>
      </c>
      <c r="C266" s="249" t="s">
        <v>79</v>
      </c>
      <c r="D266" s="248" t="s">
        <v>871</v>
      </c>
      <c r="E266" s="249" t="s">
        <v>1255</v>
      </c>
      <c r="F266" s="249" t="s">
        <v>1255</v>
      </c>
      <c r="G266" s="250">
        <v>43</v>
      </c>
      <c r="H266" s="250">
        <v>26</v>
      </c>
      <c r="I266" s="250">
        <v>25</v>
      </c>
      <c r="J266" s="251" t="s">
        <v>2902</v>
      </c>
      <c r="K266" s="252">
        <v>13</v>
      </c>
      <c r="L266" s="250">
        <v>34</v>
      </c>
      <c r="M266" s="250">
        <v>11</v>
      </c>
      <c r="N266" s="248" t="s">
        <v>2903</v>
      </c>
      <c r="O266" s="253"/>
      <c r="P266" s="260" t="s">
        <v>206</v>
      </c>
      <c r="Q266" s="261" t="s">
        <v>259</v>
      </c>
      <c r="R266" s="262"/>
      <c r="S266" s="263"/>
      <c r="T266" s="263" t="s">
        <v>335</v>
      </c>
      <c r="U266" s="264"/>
      <c r="V266" s="259"/>
      <c r="W266" s="259"/>
    </row>
    <row r="267" spans="1:23" x14ac:dyDescent="0.25">
      <c r="A267" s="230" t="s">
        <v>1579</v>
      </c>
      <c r="B267" s="50" t="s">
        <v>70</v>
      </c>
      <c r="C267" s="34" t="s">
        <v>79</v>
      </c>
      <c r="D267" s="50" t="s">
        <v>871</v>
      </c>
      <c r="E267" s="34" t="s">
        <v>149</v>
      </c>
      <c r="F267" s="34" t="s">
        <v>150</v>
      </c>
      <c r="G267" s="35">
        <v>43</v>
      </c>
      <c r="H267" s="35">
        <v>13</v>
      </c>
      <c r="I267" s="35">
        <v>7</v>
      </c>
      <c r="J267" s="143" t="s">
        <v>2902</v>
      </c>
      <c r="K267" s="55">
        <v>13</v>
      </c>
      <c r="L267" s="35">
        <v>18</v>
      </c>
      <c r="M267" s="35">
        <v>20</v>
      </c>
      <c r="N267" s="143" t="s">
        <v>2903</v>
      </c>
      <c r="O267" s="36">
        <v>200</v>
      </c>
      <c r="P267" s="26" t="s">
        <v>238</v>
      </c>
      <c r="Q267" s="27" t="s">
        <v>151</v>
      </c>
      <c r="R267" s="28" t="s">
        <v>171</v>
      </c>
      <c r="S267" s="28"/>
      <c r="T267" s="28" t="s">
        <v>152</v>
      </c>
      <c r="U267" s="45">
        <f t="shared" ref="U267:U278" si="11">IF(O267&lt;&gt;"",O267*3.28,"")</f>
        <v>656</v>
      </c>
    </row>
    <row r="268" spans="1:23" x14ac:dyDescent="0.25">
      <c r="A268" s="228" t="s">
        <v>1702</v>
      </c>
      <c r="B268" s="50" t="s">
        <v>128</v>
      </c>
      <c r="C268" s="34" t="s">
        <v>79</v>
      </c>
      <c r="D268" s="50" t="s">
        <v>872</v>
      </c>
      <c r="E268" s="34" t="s">
        <v>139</v>
      </c>
      <c r="F268" s="34" t="s">
        <v>140</v>
      </c>
      <c r="G268" s="35">
        <v>43</v>
      </c>
      <c r="H268" s="35">
        <v>39</v>
      </c>
      <c r="I268" s="35">
        <v>45</v>
      </c>
      <c r="J268" s="143" t="s">
        <v>2902</v>
      </c>
      <c r="K268" s="55">
        <v>12</v>
      </c>
      <c r="L268" s="35">
        <v>36</v>
      </c>
      <c r="M268" s="35">
        <v>88</v>
      </c>
      <c r="N268" s="143" t="s">
        <v>2903</v>
      </c>
      <c r="O268" s="36">
        <v>250</v>
      </c>
      <c r="P268" s="26" t="s">
        <v>330</v>
      </c>
      <c r="Q268" s="27" t="s">
        <v>141</v>
      </c>
      <c r="R268" s="28" t="s">
        <v>171</v>
      </c>
      <c r="S268" s="28"/>
      <c r="T268" s="28" t="s">
        <v>142</v>
      </c>
      <c r="U268" s="45">
        <f t="shared" si="11"/>
        <v>820</v>
      </c>
    </row>
    <row r="269" spans="1:23" x14ac:dyDescent="0.25">
      <c r="A269" s="228" t="s">
        <v>1703</v>
      </c>
      <c r="B269" s="30" t="s">
        <v>124</v>
      </c>
      <c r="C269" s="29" t="s">
        <v>79</v>
      </c>
      <c r="D269" s="30" t="s">
        <v>872</v>
      </c>
      <c r="E269" s="29" t="s">
        <v>3054</v>
      </c>
      <c r="F269" s="34" t="s">
        <v>127</v>
      </c>
      <c r="G269" s="31">
        <v>43</v>
      </c>
      <c r="H269" s="31">
        <v>49</v>
      </c>
      <c r="I269" s="31">
        <v>5</v>
      </c>
      <c r="J269" s="30" t="s">
        <v>2902</v>
      </c>
      <c r="K269" s="54">
        <v>13</v>
      </c>
      <c r="L269" s="31">
        <v>1</v>
      </c>
      <c r="M269" s="31">
        <v>7</v>
      </c>
      <c r="N269" s="30" t="s">
        <v>2903</v>
      </c>
      <c r="O269" s="25" t="s">
        <v>599</v>
      </c>
      <c r="P269" s="26" t="s">
        <v>279</v>
      </c>
      <c r="Q269" s="27" t="s">
        <v>600</v>
      </c>
      <c r="R269" s="28" t="s">
        <v>601</v>
      </c>
      <c r="S269" s="28"/>
      <c r="T269" s="28" t="s">
        <v>602</v>
      </c>
      <c r="U269" s="45">
        <f t="shared" si="11"/>
        <v>52.48</v>
      </c>
    </row>
    <row r="270" spans="1:23" s="247" customFormat="1" x14ac:dyDescent="0.25">
      <c r="A270" s="228" t="s">
        <v>1704</v>
      </c>
      <c r="B270" s="50" t="s">
        <v>70</v>
      </c>
      <c r="C270" s="34" t="s">
        <v>79</v>
      </c>
      <c r="D270" s="50" t="s">
        <v>872</v>
      </c>
      <c r="E270" s="34" t="s">
        <v>153</v>
      </c>
      <c r="F270" s="34" t="s">
        <v>154</v>
      </c>
      <c r="G270" s="35">
        <v>43</v>
      </c>
      <c r="H270" s="35">
        <v>39</v>
      </c>
      <c r="I270" s="35">
        <v>20</v>
      </c>
      <c r="J270" s="143" t="s">
        <v>2902</v>
      </c>
      <c r="K270" s="55">
        <v>12</v>
      </c>
      <c r="L270" s="35">
        <v>36</v>
      </c>
      <c r="M270" s="35">
        <v>46</v>
      </c>
      <c r="N270" s="143" t="s">
        <v>2903</v>
      </c>
      <c r="O270" s="36">
        <v>200</v>
      </c>
      <c r="P270" s="26" t="s">
        <v>330</v>
      </c>
      <c r="Q270" s="27" t="s">
        <v>155</v>
      </c>
      <c r="R270" s="28" t="s">
        <v>171</v>
      </c>
      <c r="S270" s="28"/>
      <c r="T270" s="28" t="s">
        <v>156</v>
      </c>
      <c r="U270" s="45">
        <f t="shared" si="11"/>
        <v>656</v>
      </c>
      <c r="V270" s="8"/>
      <c r="W270" s="8"/>
    </row>
    <row r="271" spans="1:23" x14ac:dyDescent="0.25">
      <c r="A271" s="228" t="s">
        <v>1705</v>
      </c>
      <c r="B271" s="30" t="s">
        <v>128</v>
      </c>
      <c r="C271" s="29" t="s">
        <v>79</v>
      </c>
      <c r="D271" s="30" t="s">
        <v>872</v>
      </c>
      <c r="E271" s="29" t="s">
        <v>2572</v>
      </c>
      <c r="F271" s="29" t="s">
        <v>2573</v>
      </c>
      <c r="G271" s="31">
        <v>43</v>
      </c>
      <c r="H271" s="31">
        <v>55</v>
      </c>
      <c r="I271" s="31">
        <v>10</v>
      </c>
      <c r="J271" s="30" t="s">
        <v>2902</v>
      </c>
      <c r="K271" s="54">
        <v>12</v>
      </c>
      <c r="L271" s="31">
        <v>19</v>
      </c>
      <c r="M271" s="31">
        <v>12</v>
      </c>
      <c r="N271" s="30" t="s">
        <v>2903</v>
      </c>
      <c r="O271" s="25">
        <v>220</v>
      </c>
      <c r="P271" s="26" t="s">
        <v>279</v>
      </c>
      <c r="Q271" s="27" t="s">
        <v>2574</v>
      </c>
      <c r="R271" s="28" t="s">
        <v>171</v>
      </c>
      <c r="S271" s="28"/>
      <c r="U271" s="45">
        <f t="shared" si="11"/>
        <v>721.59999999999991</v>
      </c>
    </row>
    <row r="272" spans="1:23" x14ac:dyDescent="0.25">
      <c r="A272" s="228" t="s">
        <v>1706</v>
      </c>
      <c r="B272" s="30" t="s">
        <v>70</v>
      </c>
      <c r="C272" s="29" t="s">
        <v>79</v>
      </c>
      <c r="D272" s="30" t="s">
        <v>872</v>
      </c>
      <c r="E272" s="29" t="s">
        <v>2170</v>
      </c>
      <c r="F272" s="29" t="s">
        <v>3055</v>
      </c>
      <c r="G272" s="31">
        <v>43</v>
      </c>
      <c r="H272" s="31">
        <v>45</v>
      </c>
      <c r="I272" s="31">
        <v>20</v>
      </c>
      <c r="J272" s="30" t="s">
        <v>2902</v>
      </c>
      <c r="K272" s="54">
        <v>12</v>
      </c>
      <c r="L272" s="31">
        <v>57</v>
      </c>
      <c r="M272" s="31">
        <v>0</v>
      </c>
      <c r="N272" s="30" t="s">
        <v>2903</v>
      </c>
      <c r="O272" s="25" t="s">
        <v>311</v>
      </c>
      <c r="P272" s="26" t="s">
        <v>194</v>
      </c>
      <c r="Q272" s="27" t="s">
        <v>371</v>
      </c>
      <c r="R272" s="28"/>
      <c r="S272" s="28"/>
      <c r="T272" s="28" t="s">
        <v>138</v>
      </c>
      <c r="U272" s="45">
        <f t="shared" si="11"/>
        <v>164</v>
      </c>
    </row>
    <row r="273" spans="1:23" x14ac:dyDescent="0.25">
      <c r="A273" s="228" t="s">
        <v>1707</v>
      </c>
      <c r="B273" s="30" t="s">
        <v>128</v>
      </c>
      <c r="C273" s="29" t="s">
        <v>79</v>
      </c>
      <c r="D273" s="30" t="s">
        <v>872</v>
      </c>
      <c r="E273" s="29" t="s">
        <v>147</v>
      </c>
      <c r="F273" s="29" t="s">
        <v>2016</v>
      </c>
      <c r="G273" s="31">
        <v>43</v>
      </c>
      <c r="H273" s="31">
        <v>41</v>
      </c>
      <c r="I273" s="31">
        <v>52</v>
      </c>
      <c r="J273" s="30" t="s">
        <v>2902</v>
      </c>
      <c r="K273" s="54">
        <v>13</v>
      </c>
      <c r="L273" s="31">
        <v>4</v>
      </c>
      <c r="M273" s="31">
        <v>33</v>
      </c>
      <c r="N273" s="30" t="s">
        <v>2903</v>
      </c>
      <c r="O273" s="25" t="s">
        <v>363</v>
      </c>
      <c r="P273" s="26" t="s">
        <v>225</v>
      </c>
      <c r="Q273" s="27" t="s">
        <v>148</v>
      </c>
      <c r="R273" s="28" t="s">
        <v>171</v>
      </c>
      <c r="S273" s="28"/>
      <c r="T273" s="28" t="s">
        <v>1011</v>
      </c>
      <c r="U273" s="45">
        <f t="shared" si="11"/>
        <v>190.23999999999998</v>
      </c>
    </row>
    <row r="274" spans="1:23" x14ac:dyDescent="0.25">
      <c r="A274" s="228" t="s">
        <v>1448</v>
      </c>
      <c r="B274" s="30" t="s">
        <v>128</v>
      </c>
      <c r="C274" s="29" t="s">
        <v>101</v>
      </c>
      <c r="D274" s="30" t="s">
        <v>873</v>
      </c>
      <c r="E274" s="29" t="s">
        <v>2947</v>
      </c>
      <c r="F274" s="29" t="s">
        <v>1047</v>
      </c>
      <c r="G274" s="31">
        <v>41</v>
      </c>
      <c r="H274" s="31">
        <v>27</v>
      </c>
      <c r="I274" s="31">
        <v>24</v>
      </c>
      <c r="J274" s="30" t="s">
        <v>2902</v>
      </c>
      <c r="K274" s="54">
        <v>14</v>
      </c>
      <c r="L274" s="31">
        <v>32</v>
      </c>
      <c r="M274" s="31">
        <v>3</v>
      </c>
      <c r="N274" s="30" t="s">
        <v>2903</v>
      </c>
      <c r="O274" s="25" t="s">
        <v>449</v>
      </c>
      <c r="P274" s="26" t="s">
        <v>342</v>
      </c>
      <c r="Q274" s="27" t="s">
        <v>450</v>
      </c>
      <c r="R274" s="28"/>
      <c r="S274" s="28"/>
      <c r="T274" s="28" t="s">
        <v>451</v>
      </c>
      <c r="U274" s="45">
        <f t="shared" si="11"/>
        <v>1761.36</v>
      </c>
    </row>
    <row r="275" spans="1:23" x14ac:dyDescent="0.25">
      <c r="A275" s="228" t="s">
        <v>1449</v>
      </c>
      <c r="B275" s="30" t="s">
        <v>70</v>
      </c>
      <c r="C275" s="29" t="s">
        <v>101</v>
      </c>
      <c r="D275" s="30" t="s">
        <v>873</v>
      </c>
      <c r="E275" s="29" t="s">
        <v>1053</v>
      </c>
      <c r="F275" s="29" t="s">
        <v>1054</v>
      </c>
      <c r="G275" s="31">
        <v>41</v>
      </c>
      <c r="H275" s="31">
        <v>56</v>
      </c>
      <c r="I275" s="31">
        <v>20</v>
      </c>
      <c r="J275" s="30" t="s">
        <v>2902</v>
      </c>
      <c r="K275" s="54">
        <v>15</v>
      </c>
      <c r="L275" s="31">
        <v>2</v>
      </c>
      <c r="M275" s="31">
        <v>29</v>
      </c>
      <c r="N275" s="30" t="s">
        <v>2903</v>
      </c>
      <c r="O275" s="25">
        <v>40</v>
      </c>
      <c r="P275" s="26" t="s">
        <v>330</v>
      </c>
      <c r="Q275" s="27" t="s">
        <v>1052</v>
      </c>
      <c r="R275" s="28"/>
      <c r="S275" s="28"/>
      <c r="T275" s="28" t="s">
        <v>1051</v>
      </c>
      <c r="U275" s="45">
        <f t="shared" si="11"/>
        <v>131.19999999999999</v>
      </c>
    </row>
    <row r="276" spans="1:23" x14ac:dyDescent="0.25">
      <c r="A276" s="228" t="s">
        <v>1450</v>
      </c>
      <c r="B276" s="30" t="s">
        <v>128</v>
      </c>
      <c r="C276" s="29" t="s">
        <v>101</v>
      </c>
      <c r="D276" s="30" t="s">
        <v>873</v>
      </c>
      <c r="E276" s="29" t="s">
        <v>1048</v>
      </c>
      <c r="F276" s="29" t="s">
        <v>1049</v>
      </c>
      <c r="G276" s="31">
        <v>41</v>
      </c>
      <c r="H276" s="31">
        <v>58</v>
      </c>
      <c r="I276" s="31">
        <v>23</v>
      </c>
      <c r="J276" s="30" t="s">
        <v>2902</v>
      </c>
      <c r="K276" s="54">
        <v>15</v>
      </c>
      <c r="L276" s="31">
        <v>1</v>
      </c>
      <c r="M276" s="31">
        <v>5</v>
      </c>
      <c r="N276" s="30" t="s">
        <v>2903</v>
      </c>
      <c r="O276" s="25">
        <v>1</v>
      </c>
      <c r="P276" s="26" t="s">
        <v>232</v>
      </c>
      <c r="Q276" s="27" t="s">
        <v>595</v>
      </c>
      <c r="R276" s="28" t="s">
        <v>2550</v>
      </c>
      <c r="S276" s="28"/>
      <c r="T276" s="28" t="s">
        <v>1050</v>
      </c>
      <c r="U276" s="45">
        <f t="shared" si="11"/>
        <v>3.28</v>
      </c>
    </row>
    <row r="277" spans="1:23" x14ac:dyDescent="0.25">
      <c r="A277" s="228" t="s">
        <v>1541</v>
      </c>
      <c r="B277" s="30" t="s">
        <v>70</v>
      </c>
      <c r="C277" s="29" t="s">
        <v>101</v>
      </c>
      <c r="D277" s="30" t="s">
        <v>874</v>
      </c>
      <c r="E277" s="29" t="s">
        <v>671</v>
      </c>
      <c r="F277" s="29" t="s">
        <v>2176</v>
      </c>
      <c r="G277" s="31">
        <v>41</v>
      </c>
      <c r="H277" s="31">
        <v>30</v>
      </c>
      <c r="I277" s="31">
        <v>3</v>
      </c>
      <c r="J277" s="30" t="s">
        <v>2902</v>
      </c>
      <c r="K277" s="54">
        <v>14</v>
      </c>
      <c r="L277" s="31">
        <v>9</v>
      </c>
      <c r="M277" s="31">
        <v>24</v>
      </c>
      <c r="N277" s="30" t="s">
        <v>2903</v>
      </c>
      <c r="O277" s="25" t="s">
        <v>672</v>
      </c>
      <c r="P277" s="26" t="s">
        <v>238</v>
      </c>
      <c r="Q277" s="27" t="s">
        <v>673</v>
      </c>
      <c r="R277" s="28" t="s">
        <v>171</v>
      </c>
      <c r="S277" s="28"/>
      <c r="T277" s="28" t="s">
        <v>2108</v>
      </c>
      <c r="U277" s="45">
        <f t="shared" si="11"/>
        <v>672.4</v>
      </c>
    </row>
    <row r="278" spans="1:23" x14ac:dyDescent="0.25">
      <c r="A278" s="228" t="s">
        <v>1354</v>
      </c>
      <c r="B278" s="30" t="s">
        <v>128</v>
      </c>
      <c r="C278" s="29" t="s">
        <v>92</v>
      </c>
      <c r="D278" s="30" t="s">
        <v>875</v>
      </c>
      <c r="E278" s="29" t="s">
        <v>231</v>
      </c>
      <c r="F278" s="29" t="s">
        <v>231</v>
      </c>
      <c r="G278" s="31">
        <v>44</v>
      </c>
      <c r="H278" s="31">
        <v>40</v>
      </c>
      <c r="I278" s="31">
        <v>40</v>
      </c>
      <c r="J278" s="30" t="s">
        <v>2902</v>
      </c>
      <c r="K278" s="54">
        <v>8</v>
      </c>
      <c r="L278" s="31">
        <v>31</v>
      </c>
      <c r="M278" s="31">
        <v>16</v>
      </c>
      <c r="N278" s="30" t="s">
        <v>2903</v>
      </c>
      <c r="O278" s="25" t="s">
        <v>203</v>
      </c>
      <c r="P278" s="26" t="s">
        <v>232</v>
      </c>
      <c r="Q278" s="27" t="s">
        <v>218</v>
      </c>
      <c r="R278" s="28" t="s">
        <v>233</v>
      </c>
      <c r="S278" s="28"/>
      <c r="T278" s="28" t="s">
        <v>234</v>
      </c>
      <c r="U278" s="45">
        <f t="shared" si="11"/>
        <v>426.4</v>
      </c>
    </row>
    <row r="279" spans="1:23" x14ac:dyDescent="0.25">
      <c r="A279" s="229" t="s">
        <v>1356</v>
      </c>
      <c r="B279" s="248" t="s">
        <v>70</v>
      </c>
      <c r="C279" s="249" t="s">
        <v>92</v>
      </c>
      <c r="D279" s="248" t="s">
        <v>875</v>
      </c>
      <c r="E279" s="249" t="s">
        <v>2901</v>
      </c>
      <c r="F279" s="249" t="s">
        <v>1254</v>
      </c>
      <c r="G279" s="250">
        <v>44</v>
      </c>
      <c r="H279" s="250">
        <v>43</v>
      </c>
      <c r="I279" s="250">
        <v>42</v>
      </c>
      <c r="J279" s="251" t="s">
        <v>2902</v>
      </c>
      <c r="K279" s="252">
        <v>8</v>
      </c>
      <c r="L279" s="250">
        <v>35</v>
      </c>
      <c r="M279" s="250">
        <v>41</v>
      </c>
      <c r="N279" s="248" t="s">
        <v>2903</v>
      </c>
      <c r="O279" s="253">
        <v>225</v>
      </c>
      <c r="P279" s="260" t="s">
        <v>194</v>
      </c>
      <c r="Q279" s="261" t="s">
        <v>158</v>
      </c>
      <c r="R279" s="262"/>
      <c r="S279" s="263"/>
      <c r="T279" s="263"/>
      <c r="U279" s="264">
        <v>738</v>
      </c>
      <c r="V279" s="259"/>
      <c r="W279" s="259"/>
    </row>
    <row r="280" spans="1:23" x14ac:dyDescent="0.25">
      <c r="A280" s="229" t="s">
        <v>1357</v>
      </c>
      <c r="B280" s="248" t="s">
        <v>124</v>
      </c>
      <c r="C280" s="249" t="s">
        <v>92</v>
      </c>
      <c r="D280" s="248" t="s">
        <v>875</v>
      </c>
      <c r="E280" s="249" t="s">
        <v>2901</v>
      </c>
      <c r="F280" s="249" t="s">
        <v>727</v>
      </c>
      <c r="G280" s="250">
        <v>44</v>
      </c>
      <c r="H280" s="250">
        <v>55</v>
      </c>
      <c r="I280" s="250">
        <v>32</v>
      </c>
      <c r="J280" s="251" t="s">
        <v>2902</v>
      </c>
      <c r="K280" s="252">
        <v>8</v>
      </c>
      <c r="L280" s="250">
        <v>37</v>
      </c>
      <c r="M280" s="250">
        <v>32</v>
      </c>
      <c r="N280" s="248" t="s">
        <v>2903</v>
      </c>
      <c r="O280" s="253">
        <v>90</v>
      </c>
      <c r="P280" s="260" t="s">
        <v>225</v>
      </c>
      <c r="Q280" s="261" t="s">
        <v>131</v>
      </c>
      <c r="R280" s="262" t="s">
        <v>2552</v>
      </c>
      <c r="S280" s="263"/>
      <c r="T280" s="263" t="s">
        <v>781</v>
      </c>
      <c r="U280" s="264">
        <f t="shared" ref="U280:U298" si="12">IF(O280&lt;&gt;"",O280*3.28,"")</f>
        <v>295.2</v>
      </c>
      <c r="V280" s="259"/>
      <c r="W280" s="259"/>
    </row>
    <row r="281" spans="1:23" x14ac:dyDescent="0.25">
      <c r="A281" s="228" t="s">
        <v>1358</v>
      </c>
      <c r="B281" s="30" t="s">
        <v>70</v>
      </c>
      <c r="C281" s="29" t="s">
        <v>92</v>
      </c>
      <c r="D281" s="30" t="s">
        <v>875</v>
      </c>
      <c r="E281" s="29" t="s">
        <v>749</v>
      </c>
      <c r="F281" s="29" t="s">
        <v>750</v>
      </c>
      <c r="G281" s="31">
        <v>44</v>
      </c>
      <c r="H281" s="31">
        <v>43</v>
      </c>
      <c r="I281" s="31">
        <v>40</v>
      </c>
      <c r="J281" s="30" t="s">
        <v>2902</v>
      </c>
      <c r="K281" s="54">
        <v>8</v>
      </c>
      <c r="L281" s="31">
        <v>27</v>
      </c>
      <c r="M281" s="31">
        <v>53</v>
      </c>
      <c r="N281" s="30" t="s">
        <v>2903</v>
      </c>
      <c r="O281" s="25"/>
      <c r="P281" s="26" t="s">
        <v>214</v>
      </c>
      <c r="Q281" s="27" t="s">
        <v>773</v>
      </c>
      <c r="R281" s="28"/>
      <c r="S281" s="28"/>
      <c r="T281" s="28" t="s">
        <v>774</v>
      </c>
      <c r="U281" s="45" t="str">
        <f t="shared" si="12"/>
        <v/>
      </c>
    </row>
    <row r="282" spans="1:23" x14ac:dyDescent="0.25">
      <c r="A282" s="228" t="s">
        <v>1359</v>
      </c>
      <c r="B282" s="30" t="s">
        <v>124</v>
      </c>
      <c r="C282" s="29" t="s">
        <v>92</v>
      </c>
      <c r="D282" s="30" t="s">
        <v>875</v>
      </c>
      <c r="E282" s="29" t="s">
        <v>728</v>
      </c>
      <c r="F282" s="29" t="s">
        <v>729</v>
      </c>
      <c r="G282" s="31">
        <v>45</v>
      </c>
      <c r="H282" s="31">
        <v>6</v>
      </c>
      <c r="I282" s="31">
        <v>38</v>
      </c>
      <c r="J282" s="30" t="s">
        <v>2902</v>
      </c>
      <c r="K282" s="54">
        <v>8</v>
      </c>
      <c r="L282" s="31">
        <v>27</v>
      </c>
      <c r="M282" s="31">
        <v>23</v>
      </c>
      <c r="N282" s="30" t="s">
        <v>2903</v>
      </c>
      <c r="O282" s="25">
        <v>110</v>
      </c>
      <c r="P282" s="26" t="s">
        <v>206</v>
      </c>
      <c r="Q282" s="27" t="s">
        <v>2875</v>
      </c>
      <c r="R282" s="28" t="s">
        <v>2639</v>
      </c>
      <c r="S282" s="28"/>
      <c r="T282" s="28" t="s">
        <v>782</v>
      </c>
      <c r="U282" s="45">
        <f t="shared" si="12"/>
        <v>360.79999999999995</v>
      </c>
    </row>
    <row r="283" spans="1:23" x14ac:dyDescent="0.25">
      <c r="A283" s="228" t="s">
        <v>1360</v>
      </c>
      <c r="B283" s="30" t="s">
        <v>128</v>
      </c>
      <c r="C283" s="29" t="s">
        <v>92</v>
      </c>
      <c r="D283" s="30" t="s">
        <v>875</v>
      </c>
      <c r="E283" s="29" t="s">
        <v>2904</v>
      </c>
      <c r="F283" s="29" t="s">
        <v>711</v>
      </c>
      <c r="G283" s="31">
        <v>44</v>
      </c>
      <c r="H283" s="31">
        <v>44</v>
      </c>
      <c r="I283" s="31">
        <v>35</v>
      </c>
      <c r="J283" s="30" t="s">
        <v>2902</v>
      </c>
      <c r="K283" s="54">
        <v>8</v>
      </c>
      <c r="L283" s="31">
        <v>43</v>
      </c>
      <c r="M283" s="31">
        <v>45</v>
      </c>
      <c r="N283" s="30" t="s">
        <v>2903</v>
      </c>
      <c r="O283" s="25" t="s">
        <v>208</v>
      </c>
      <c r="P283" s="26" t="s">
        <v>232</v>
      </c>
      <c r="Q283" s="27" t="s">
        <v>209</v>
      </c>
      <c r="R283" s="28"/>
      <c r="S283" s="28"/>
      <c r="T283" s="28" t="s">
        <v>210</v>
      </c>
      <c r="U283" s="45">
        <f t="shared" si="12"/>
        <v>574</v>
      </c>
    </row>
    <row r="284" spans="1:23" x14ac:dyDescent="0.25">
      <c r="A284" s="228" t="s">
        <v>1359</v>
      </c>
      <c r="B284" s="30" t="s">
        <v>124</v>
      </c>
      <c r="C284" s="29" t="s">
        <v>92</v>
      </c>
      <c r="D284" s="30" t="s">
        <v>875</v>
      </c>
      <c r="E284" s="29" t="s">
        <v>2905</v>
      </c>
      <c r="F284" s="29" t="s">
        <v>710</v>
      </c>
      <c r="G284" s="31">
        <v>44</v>
      </c>
      <c r="H284" s="31">
        <v>46</v>
      </c>
      <c r="I284" s="31">
        <v>46</v>
      </c>
      <c r="J284" s="30" t="s">
        <v>2902</v>
      </c>
      <c r="K284" s="54">
        <v>8</v>
      </c>
      <c r="L284" s="31">
        <v>47</v>
      </c>
      <c r="M284" s="31">
        <v>12</v>
      </c>
      <c r="N284" s="30" t="s">
        <v>2903</v>
      </c>
      <c r="O284" s="25" t="s">
        <v>580</v>
      </c>
      <c r="P284" s="26" t="s">
        <v>206</v>
      </c>
      <c r="Q284" s="27" t="s">
        <v>2876</v>
      </c>
      <c r="R284" s="28" t="s">
        <v>581</v>
      </c>
      <c r="S284" s="28"/>
      <c r="T284" s="28" t="s">
        <v>582</v>
      </c>
      <c r="U284" s="45">
        <f t="shared" si="12"/>
        <v>665.83999999999992</v>
      </c>
    </row>
    <row r="285" spans="1:23" x14ac:dyDescent="0.25">
      <c r="A285" s="228" t="s">
        <v>1355</v>
      </c>
      <c r="B285" s="30" t="s">
        <v>70</v>
      </c>
      <c r="C285" s="29" t="s">
        <v>92</v>
      </c>
      <c r="D285" s="30" t="s">
        <v>875</v>
      </c>
      <c r="E285" s="29" t="s">
        <v>336</v>
      </c>
      <c r="F285" s="29" t="s">
        <v>714</v>
      </c>
      <c r="G285" s="31">
        <v>44</v>
      </c>
      <c r="H285" s="31">
        <v>56</v>
      </c>
      <c r="I285" s="31">
        <v>9</v>
      </c>
      <c r="J285" s="30" t="s">
        <v>2902</v>
      </c>
      <c r="K285" s="54">
        <v>8</v>
      </c>
      <c r="L285" s="31">
        <v>44</v>
      </c>
      <c r="M285" s="31">
        <v>57</v>
      </c>
      <c r="N285" s="30" t="s">
        <v>2903</v>
      </c>
      <c r="O285" s="25" t="s">
        <v>186</v>
      </c>
      <c r="P285" s="26" t="s">
        <v>206</v>
      </c>
      <c r="Q285" s="27" t="s">
        <v>687</v>
      </c>
      <c r="R285" s="28"/>
      <c r="S285" s="28"/>
      <c r="T285" s="28" t="s">
        <v>337</v>
      </c>
      <c r="U285" s="45">
        <f t="shared" si="12"/>
        <v>918.4</v>
      </c>
    </row>
    <row r="286" spans="1:23" x14ac:dyDescent="0.25">
      <c r="A286" s="228" t="s">
        <v>1361</v>
      </c>
      <c r="B286" s="30" t="s">
        <v>70</v>
      </c>
      <c r="C286" s="29" t="s">
        <v>92</v>
      </c>
      <c r="D286" s="30" t="s">
        <v>875</v>
      </c>
      <c r="E286" s="29" t="s">
        <v>716</v>
      </c>
      <c r="F286" s="29" t="s">
        <v>715</v>
      </c>
      <c r="G286" s="31">
        <v>44</v>
      </c>
      <c r="H286" s="31">
        <v>53</v>
      </c>
      <c r="I286" s="31">
        <v>3</v>
      </c>
      <c r="J286" s="30" t="s">
        <v>2902</v>
      </c>
      <c r="K286" s="54">
        <v>8</v>
      </c>
      <c r="L286" s="31">
        <v>46</v>
      </c>
      <c r="M286" s="31">
        <v>51</v>
      </c>
      <c r="N286" s="30" t="s">
        <v>2903</v>
      </c>
      <c r="O286" s="25" t="s">
        <v>558</v>
      </c>
      <c r="P286" s="26" t="s">
        <v>206</v>
      </c>
      <c r="Q286" s="27" t="s">
        <v>241</v>
      </c>
      <c r="R286" s="28"/>
      <c r="S286" s="28"/>
      <c r="T286" s="28" t="s">
        <v>1022</v>
      </c>
      <c r="U286" s="45">
        <f t="shared" si="12"/>
        <v>419.84</v>
      </c>
    </row>
    <row r="287" spans="1:23" s="247" customFormat="1" x14ac:dyDescent="0.25">
      <c r="A287" s="228" t="s">
        <v>1382</v>
      </c>
      <c r="B287" s="30" t="s">
        <v>70</v>
      </c>
      <c r="C287" s="29" t="s">
        <v>92</v>
      </c>
      <c r="D287" s="30" t="s">
        <v>876</v>
      </c>
      <c r="E287" s="29" t="s">
        <v>2912</v>
      </c>
      <c r="F287" s="29" t="s">
        <v>2018</v>
      </c>
      <c r="G287" s="31">
        <v>44</v>
      </c>
      <c r="H287" s="31">
        <v>54</v>
      </c>
      <c r="I287" s="31">
        <v>44</v>
      </c>
      <c r="J287" s="30" t="s">
        <v>2902</v>
      </c>
      <c r="K287" s="54">
        <v>8</v>
      </c>
      <c r="L287" s="31">
        <v>2</v>
      </c>
      <c r="M287" s="31">
        <v>5</v>
      </c>
      <c r="N287" s="30" t="s">
        <v>2903</v>
      </c>
      <c r="O287" s="25" t="s">
        <v>208</v>
      </c>
      <c r="P287" s="26" t="s">
        <v>279</v>
      </c>
      <c r="Q287" s="27" t="s">
        <v>453</v>
      </c>
      <c r="R287" s="28"/>
      <c r="S287" s="28"/>
      <c r="T287" s="28" t="s">
        <v>1023</v>
      </c>
      <c r="U287" s="45">
        <f t="shared" si="12"/>
        <v>574</v>
      </c>
      <c r="V287" s="8"/>
      <c r="W287" s="8"/>
    </row>
    <row r="288" spans="1:23" x14ac:dyDescent="0.25">
      <c r="A288" s="228" t="s">
        <v>1383</v>
      </c>
      <c r="B288" s="30" t="s">
        <v>70</v>
      </c>
      <c r="C288" s="29" t="s">
        <v>92</v>
      </c>
      <c r="D288" s="30" t="s">
        <v>876</v>
      </c>
      <c r="E288" s="29" t="s">
        <v>717</v>
      </c>
      <c r="F288" s="29" t="s">
        <v>2913</v>
      </c>
      <c r="G288" s="31">
        <v>44</v>
      </c>
      <c r="H288" s="31">
        <v>45</v>
      </c>
      <c r="I288" s="31">
        <v>29</v>
      </c>
      <c r="J288" s="30" t="s">
        <v>2902</v>
      </c>
      <c r="K288" s="54">
        <v>8</v>
      </c>
      <c r="L288" s="31">
        <v>11</v>
      </c>
      <c r="M288" s="31">
        <v>14</v>
      </c>
      <c r="N288" s="30" t="s">
        <v>2903</v>
      </c>
      <c r="O288" s="25" t="s">
        <v>190</v>
      </c>
      <c r="P288" s="26" t="s">
        <v>191</v>
      </c>
      <c r="Q288" s="27" t="s">
        <v>192</v>
      </c>
      <c r="R288" s="28"/>
      <c r="S288" s="28"/>
      <c r="T288" s="28" t="s">
        <v>1024</v>
      </c>
      <c r="U288" s="45">
        <f t="shared" si="12"/>
        <v>656</v>
      </c>
    </row>
    <row r="289" spans="1:23" x14ac:dyDescent="0.25">
      <c r="A289" s="228" t="s">
        <v>1384</v>
      </c>
      <c r="B289" s="30" t="s">
        <v>70</v>
      </c>
      <c r="C289" s="29" t="s">
        <v>92</v>
      </c>
      <c r="D289" s="30" t="s">
        <v>876</v>
      </c>
      <c r="E289" s="29" t="s">
        <v>2637</v>
      </c>
      <c r="F289" s="29" t="s">
        <v>2636</v>
      </c>
      <c r="G289" s="31">
        <v>45</v>
      </c>
      <c r="H289" s="31">
        <v>3</v>
      </c>
      <c r="I289" s="31">
        <v>54</v>
      </c>
      <c r="J289" s="30" t="s">
        <v>2902</v>
      </c>
      <c r="K289" s="54">
        <v>8</v>
      </c>
      <c r="L289" s="31">
        <v>4</v>
      </c>
      <c r="M289" s="31">
        <v>48</v>
      </c>
      <c r="N289" s="30" t="s">
        <v>2903</v>
      </c>
      <c r="O289" s="25" t="s">
        <v>230</v>
      </c>
      <c r="P289" s="26" t="s">
        <v>206</v>
      </c>
      <c r="Q289" s="27" t="s">
        <v>134</v>
      </c>
      <c r="R289" s="28"/>
      <c r="S289" s="28"/>
      <c r="T289" s="28" t="s">
        <v>1033</v>
      </c>
      <c r="U289" s="45">
        <f t="shared" si="12"/>
        <v>721.59999999999991</v>
      </c>
    </row>
    <row r="290" spans="1:23" x14ac:dyDescent="0.25">
      <c r="A290" s="228" t="s">
        <v>1385</v>
      </c>
      <c r="B290" s="30" t="s">
        <v>70</v>
      </c>
      <c r="C290" s="29" t="s">
        <v>92</v>
      </c>
      <c r="D290" s="30" t="s">
        <v>876</v>
      </c>
      <c r="E290" s="29" t="s">
        <v>751</v>
      </c>
      <c r="F290" s="29" t="s">
        <v>752</v>
      </c>
      <c r="G290" s="31">
        <v>44</v>
      </c>
      <c r="H290" s="31">
        <v>57</v>
      </c>
      <c r="I290" s="31">
        <v>41</v>
      </c>
      <c r="J290" s="30" t="s">
        <v>2902</v>
      </c>
      <c r="K290" s="54">
        <v>7</v>
      </c>
      <c r="L290" s="31">
        <v>55</v>
      </c>
      <c r="M290" s="31">
        <v>38</v>
      </c>
      <c r="N290" s="30" t="s">
        <v>2903</v>
      </c>
      <c r="O290" s="25"/>
      <c r="P290" s="26" t="s">
        <v>267</v>
      </c>
      <c r="Q290" s="27" t="s">
        <v>346</v>
      </c>
      <c r="R290" s="28"/>
      <c r="S290" s="28"/>
      <c r="T290" s="28" t="s">
        <v>778</v>
      </c>
      <c r="U290" s="45" t="str">
        <f t="shared" si="12"/>
        <v/>
      </c>
    </row>
    <row r="291" spans="1:23" x14ac:dyDescent="0.25">
      <c r="A291" s="228" t="s">
        <v>1397</v>
      </c>
      <c r="B291" s="30" t="s">
        <v>124</v>
      </c>
      <c r="C291" s="29" t="s">
        <v>92</v>
      </c>
      <c r="D291" s="30" t="s">
        <v>877</v>
      </c>
      <c r="E291" s="29" t="s">
        <v>730</v>
      </c>
      <c r="F291" s="29" t="s">
        <v>731</v>
      </c>
      <c r="G291" s="31">
        <v>45</v>
      </c>
      <c r="H291" s="31">
        <v>29</v>
      </c>
      <c r="I291" s="31">
        <v>58</v>
      </c>
      <c r="J291" s="30" t="s">
        <v>2902</v>
      </c>
      <c r="K291" s="54">
        <v>8</v>
      </c>
      <c r="L291" s="31">
        <v>6</v>
      </c>
      <c r="M291" s="31">
        <v>8</v>
      </c>
      <c r="N291" s="30" t="s">
        <v>2903</v>
      </c>
      <c r="O291" s="25">
        <v>280</v>
      </c>
      <c r="P291" s="26" t="s">
        <v>275</v>
      </c>
      <c r="Q291" s="27" t="s">
        <v>2877</v>
      </c>
      <c r="R291" s="28" t="s">
        <v>2640</v>
      </c>
      <c r="S291" s="28"/>
      <c r="T291" s="28" t="s">
        <v>783</v>
      </c>
      <c r="U291" s="45">
        <f t="shared" si="12"/>
        <v>918.4</v>
      </c>
    </row>
    <row r="292" spans="1:23" x14ac:dyDescent="0.25">
      <c r="A292" s="228" t="s">
        <v>1398</v>
      </c>
      <c r="B292" s="30" t="s">
        <v>70</v>
      </c>
      <c r="C292" s="29" t="s">
        <v>92</v>
      </c>
      <c r="D292" s="30" t="s">
        <v>877</v>
      </c>
      <c r="E292" s="29" t="s">
        <v>2921</v>
      </c>
      <c r="F292" s="29" t="s">
        <v>2019</v>
      </c>
      <c r="G292" s="31">
        <v>45</v>
      </c>
      <c r="H292" s="31">
        <v>31</v>
      </c>
      <c r="I292" s="31">
        <v>55</v>
      </c>
      <c r="J292" s="30" t="s">
        <v>2902</v>
      </c>
      <c r="K292" s="54">
        <v>8</v>
      </c>
      <c r="L292" s="31">
        <v>12</v>
      </c>
      <c r="M292" s="31">
        <v>50</v>
      </c>
      <c r="N292" s="30" t="s">
        <v>2903</v>
      </c>
      <c r="O292" s="25" t="s">
        <v>220</v>
      </c>
      <c r="P292" s="26" t="s">
        <v>275</v>
      </c>
      <c r="Q292" s="27" t="s">
        <v>525</v>
      </c>
      <c r="R292" s="28"/>
      <c r="S292" s="28"/>
      <c r="T292" s="28" t="s">
        <v>1025</v>
      </c>
      <c r="U292" s="45">
        <f t="shared" si="12"/>
        <v>715.04</v>
      </c>
    </row>
    <row r="293" spans="1:23" x14ac:dyDescent="0.25">
      <c r="A293" s="228" t="s">
        <v>1399</v>
      </c>
      <c r="B293" s="30" t="s">
        <v>70</v>
      </c>
      <c r="C293" s="29" t="s">
        <v>92</v>
      </c>
      <c r="D293" s="30" t="s">
        <v>877</v>
      </c>
      <c r="E293" s="29" t="s">
        <v>753</v>
      </c>
      <c r="F293" s="29" t="s">
        <v>753</v>
      </c>
      <c r="G293" s="31">
        <v>45</v>
      </c>
      <c r="H293" s="31">
        <v>33</v>
      </c>
      <c r="I293" s="31">
        <v>12</v>
      </c>
      <c r="J293" s="30" t="s">
        <v>2902</v>
      </c>
      <c r="K293" s="54">
        <v>8</v>
      </c>
      <c r="L293" s="31">
        <v>9</v>
      </c>
      <c r="M293" s="31">
        <v>40</v>
      </c>
      <c r="N293" s="30" t="s">
        <v>2903</v>
      </c>
      <c r="O293" s="25">
        <v>350</v>
      </c>
      <c r="P293" s="26" t="s">
        <v>342</v>
      </c>
      <c r="Q293" s="27" t="s">
        <v>772</v>
      </c>
      <c r="R293" s="28"/>
      <c r="S293" s="28"/>
      <c r="T293" s="28" t="s">
        <v>1943</v>
      </c>
      <c r="U293" s="45">
        <f t="shared" si="12"/>
        <v>1148</v>
      </c>
    </row>
    <row r="294" spans="1:23" x14ac:dyDescent="0.25">
      <c r="A294" s="228" t="s">
        <v>1400</v>
      </c>
      <c r="B294" s="30" t="s">
        <v>70</v>
      </c>
      <c r="C294" s="29" t="s">
        <v>92</v>
      </c>
      <c r="D294" s="30" t="s">
        <v>877</v>
      </c>
      <c r="E294" s="29" t="s">
        <v>754</v>
      </c>
      <c r="F294" s="29" t="s">
        <v>755</v>
      </c>
      <c r="G294" s="31">
        <v>45</v>
      </c>
      <c r="H294" s="31">
        <v>31</v>
      </c>
      <c r="I294" s="31">
        <v>24</v>
      </c>
      <c r="J294" s="30" t="s">
        <v>2902</v>
      </c>
      <c r="K294" s="54">
        <v>8</v>
      </c>
      <c r="L294" s="31">
        <v>1</v>
      </c>
      <c r="M294" s="31">
        <v>0</v>
      </c>
      <c r="N294" s="30" t="s">
        <v>2903</v>
      </c>
      <c r="O294" s="25"/>
      <c r="P294" s="26" t="s">
        <v>204</v>
      </c>
      <c r="Q294" s="27" t="s">
        <v>770</v>
      </c>
      <c r="R294" s="28"/>
      <c r="S294" s="28"/>
      <c r="T294" s="28" t="s">
        <v>771</v>
      </c>
      <c r="U294" s="45" t="str">
        <f t="shared" si="12"/>
        <v/>
      </c>
    </row>
    <row r="295" spans="1:23" x14ac:dyDescent="0.25">
      <c r="A295" s="228" t="s">
        <v>1465</v>
      </c>
      <c r="B295" s="30" t="s">
        <v>70</v>
      </c>
      <c r="C295" s="29" t="s">
        <v>92</v>
      </c>
      <c r="D295" s="30" t="s">
        <v>878</v>
      </c>
      <c r="E295" s="29" t="s">
        <v>2964</v>
      </c>
      <c r="F295" s="29" t="s">
        <v>718</v>
      </c>
      <c r="G295" s="31">
        <v>44</v>
      </c>
      <c r="H295" s="31">
        <v>46</v>
      </c>
      <c r="I295" s="31">
        <v>30</v>
      </c>
      <c r="J295" s="30" t="s">
        <v>2902</v>
      </c>
      <c r="K295" s="54">
        <v>7</v>
      </c>
      <c r="L295" s="31">
        <v>52</v>
      </c>
      <c r="M295" s="31">
        <v>54</v>
      </c>
      <c r="N295" s="30" t="s">
        <v>2903</v>
      </c>
      <c r="O295" s="25" t="s">
        <v>246</v>
      </c>
      <c r="P295" s="26" t="s">
        <v>247</v>
      </c>
      <c r="Q295" s="27" t="s">
        <v>248</v>
      </c>
      <c r="R295" s="28"/>
      <c r="S295" s="28"/>
      <c r="T295" s="28" t="s">
        <v>249</v>
      </c>
      <c r="U295" s="45">
        <f t="shared" si="12"/>
        <v>1016.8</v>
      </c>
    </row>
    <row r="296" spans="1:23" x14ac:dyDescent="0.25">
      <c r="A296" s="228" t="s">
        <v>1466</v>
      </c>
      <c r="B296" s="30" t="s">
        <v>70</v>
      </c>
      <c r="C296" s="29" t="s">
        <v>92</v>
      </c>
      <c r="D296" s="30" t="s">
        <v>878</v>
      </c>
      <c r="E296" s="29" t="s">
        <v>630</v>
      </c>
      <c r="F296" s="29" t="s">
        <v>719</v>
      </c>
      <c r="G296" s="31">
        <v>44</v>
      </c>
      <c r="H296" s="31">
        <v>30</v>
      </c>
      <c r="I296" s="31">
        <v>38</v>
      </c>
      <c r="J296" s="30" t="s">
        <v>2902</v>
      </c>
      <c r="K296" s="54">
        <v>7</v>
      </c>
      <c r="L296" s="31">
        <v>49</v>
      </c>
      <c r="M296" s="31">
        <v>15</v>
      </c>
      <c r="N296" s="30" t="s">
        <v>2903</v>
      </c>
      <c r="O296" s="25" t="s">
        <v>631</v>
      </c>
      <c r="P296" s="26" t="s">
        <v>204</v>
      </c>
      <c r="Q296" s="27" t="s">
        <v>632</v>
      </c>
      <c r="R296" s="28"/>
      <c r="S296" s="28"/>
      <c r="T296" s="28" t="s">
        <v>1026</v>
      </c>
      <c r="U296" s="45">
        <f t="shared" si="12"/>
        <v>1312</v>
      </c>
    </row>
    <row r="297" spans="1:23" x14ac:dyDescent="0.25">
      <c r="A297" s="228" t="s">
        <v>1467</v>
      </c>
      <c r="B297" s="30" t="s">
        <v>70</v>
      </c>
      <c r="C297" s="29" t="s">
        <v>92</v>
      </c>
      <c r="D297" s="30" t="s">
        <v>878</v>
      </c>
      <c r="E297" s="29" t="s">
        <v>625</v>
      </c>
      <c r="F297" s="29" t="s">
        <v>720</v>
      </c>
      <c r="G297" s="31">
        <v>44</v>
      </c>
      <c r="H297" s="31">
        <v>26</v>
      </c>
      <c r="I297" s="31">
        <v>0</v>
      </c>
      <c r="J297" s="30" t="s">
        <v>2902</v>
      </c>
      <c r="K297" s="54">
        <v>7</v>
      </c>
      <c r="L297" s="31">
        <v>37</v>
      </c>
      <c r="M297" s="31">
        <v>54</v>
      </c>
      <c r="N297" s="30" t="s">
        <v>2903</v>
      </c>
      <c r="O297" s="25" t="s">
        <v>626</v>
      </c>
      <c r="P297" s="26" t="s">
        <v>238</v>
      </c>
      <c r="Q297" s="27" t="s">
        <v>218</v>
      </c>
      <c r="R297" s="28"/>
      <c r="S297" s="28"/>
      <c r="T297" s="28" t="s">
        <v>1027</v>
      </c>
      <c r="U297" s="45">
        <f t="shared" si="12"/>
        <v>1498.9599999999998</v>
      </c>
    </row>
    <row r="298" spans="1:23" x14ac:dyDescent="0.25">
      <c r="A298" s="228" t="s">
        <v>1470</v>
      </c>
      <c r="B298" s="30" t="s">
        <v>128</v>
      </c>
      <c r="C298" s="29" t="s">
        <v>92</v>
      </c>
      <c r="D298" s="30" t="s">
        <v>878</v>
      </c>
      <c r="E298" s="29" t="s">
        <v>2965</v>
      </c>
      <c r="F298" s="29" t="s">
        <v>2966</v>
      </c>
      <c r="G298" s="31">
        <v>44</v>
      </c>
      <c r="H298" s="31">
        <v>47</v>
      </c>
      <c r="I298" s="31">
        <v>50</v>
      </c>
      <c r="J298" s="30" t="s">
        <v>2902</v>
      </c>
      <c r="K298" s="54">
        <v>7</v>
      </c>
      <c r="L298" s="31">
        <v>23</v>
      </c>
      <c r="M298" s="31">
        <v>30</v>
      </c>
      <c r="N298" s="30" t="s">
        <v>2903</v>
      </c>
      <c r="O298" s="25" t="s">
        <v>244</v>
      </c>
      <c r="P298" s="26" t="s">
        <v>206</v>
      </c>
      <c r="Q298" s="27" t="s">
        <v>245</v>
      </c>
      <c r="R298" s="28"/>
      <c r="S298" s="28"/>
      <c r="T298" s="28" t="s">
        <v>1017</v>
      </c>
      <c r="U298" s="45">
        <f t="shared" si="12"/>
        <v>951.19999999999993</v>
      </c>
    </row>
    <row r="299" spans="1:23" x14ac:dyDescent="0.25">
      <c r="A299" s="229" t="s">
        <v>1468</v>
      </c>
      <c r="B299" s="248" t="s">
        <v>70</v>
      </c>
      <c r="C299" s="249" t="s">
        <v>92</v>
      </c>
      <c r="D299" s="248" t="s">
        <v>878</v>
      </c>
      <c r="E299" s="249" t="s">
        <v>1251</v>
      </c>
      <c r="F299" s="249" t="s">
        <v>1252</v>
      </c>
      <c r="G299" s="250">
        <v>44</v>
      </c>
      <c r="H299" s="250">
        <v>40</v>
      </c>
      <c r="I299" s="250">
        <v>44</v>
      </c>
      <c r="J299" s="251" t="s">
        <v>2902</v>
      </c>
      <c r="K299" s="252">
        <v>7</v>
      </c>
      <c r="L299" s="250">
        <v>49</v>
      </c>
      <c r="M299" s="250">
        <v>7</v>
      </c>
      <c r="N299" s="248" t="s">
        <v>2903</v>
      </c>
      <c r="O299" s="253">
        <v>285</v>
      </c>
      <c r="P299" s="260" t="s">
        <v>206</v>
      </c>
      <c r="Q299" s="261" t="s">
        <v>1253</v>
      </c>
      <c r="R299" s="262"/>
      <c r="S299" s="263"/>
      <c r="T299" s="263" t="s">
        <v>1071</v>
      </c>
      <c r="U299" s="264"/>
      <c r="V299" s="259"/>
      <c r="W299" s="259"/>
    </row>
    <row r="300" spans="1:23" x14ac:dyDescent="0.25">
      <c r="A300" s="228" t="s">
        <v>1469</v>
      </c>
      <c r="B300" s="30" t="s">
        <v>128</v>
      </c>
      <c r="C300" s="29" t="s">
        <v>92</v>
      </c>
      <c r="D300" s="30" t="s">
        <v>878</v>
      </c>
      <c r="E300" s="29" t="s">
        <v>2967</v>
      </c>
      <c r="F300" s="29" t="s">
        <v>712</v>
      </c>
      <c r="G300" s="31">
        <v>44</v>
      </c>
      <c r="H300" s="31">
        <v>41</v>
      </c>
      <c r="I300" s="31">
        <v>53</v>
      </c>
      <c r="J300" s="30" t="s">
        <v>2902</v>
      </c>
      <c r="K300" s="54">
        <v>7</v>
      </c>
      <c r="L300" s="31">
        <v>24</v>
      </c>
      <c r="M300" s="31">
        <v>10</v>
      </c>
      <c r="N300" s="30" t="s">
        <v>2903</v>
      </c>
      <c r="O300" s="25" t="s">
        <v>213</v>
      </c>
      <c r="P300" s="26" t="s">
        <v>214</v>
      </c>
      <c r="Q300" s="27" t="s">
        <v>215</v>
      </c>
      <c r="R300" s="28" t="s">
        <v>171</v>
      </c>
      <c r="S300" s="28"/>
      <c r="T300" s="28" t="s">
        <v>216</v>
      </c>
      <c r="U300" s="45">
        <f t="shared" ref="U300:U337" si="13">IF(O300&lt;&gt;"",O300*3.28,"")</f>
        <v>947.92</v>
      </c>
    </row>
    <row r="301" spans="1:23" x14ac:dyDescent="0.25">
      <c r="A301" s="228" t="s">
        <v>1471</v>
      </c>
      <c r="B301" s="30" t="s">
        <v>128</v>
      </c>
      <c r="C301" s="29" t="s">
        <v>92</v>
      </c>
      <c r="D301" s="30" t="s">
        <v>878</v>
      </c>
      <c r="E301" s="29" t="s">
        <v>2968</v>
      </c>
      <c r="F301" s="29" t="s">
        <v>2969</v>
      </c>
      <c r="G301" s="31">
        <v>44</v>
      </c>
      <c r="H301" s="31">
        <v>31</v>
      </c>
      <c r="I301" s="31">
        <v>27</v>
      </c>
      <c r="J301" s="30" t="s">
        <v>2902</v>
      </c>
      <c r="K301" s="54">
        <v>8</v>
      </c>
      <c r="L301" s="31">
        <v>11</v>
      </c>
      <c r="M301" s="31">
        <v>0</v>
      </c>
      <c r="N301" s="30" t="s">
        <v>2903</v>
      </c>
      <c r="O301" s="25" t="s">
        <v>240</v>
      </c>
      <c r="P301" s="26" t="s">
        <v>187</v>
      </c>
      <c r="Q301" s="27" t="s">
        <v>241</v>
      </c>
      <c r="R301" s="28" t="s">
        <v>242</v>
      </c>
      <c r="S301" s="28"/>
      <c r="T301" s="28" t="s">
        <v>243</v>
      </c>
      <c r="U301" s="45">
        <f t="shared" si="13"/>
        <v>1174.24</v>
      </c>
    </row>
    <row r="302" spans="1:23" x14ac:dyDescent="0.25">
      <c r="A302" s="228" t="s">
        <v>1472</v>
      </c>
      <c r="B302" s="30" t="s">
        <v>128</v>
      </c>
      <c r="C302" s="29" t="s">
        <v>92</v>
      </c>
      <c r="D302" s="30" t="s">
        <v>878</v>
      </c>
      <c r="E302" s="29" t="s">
        <v>235</v>
      </c>
      <c r="F302" s="29" t="s">
        <v>236</v>
      </c>
      <c r="G302" s="31">
        <v>44</v>
      </c>
      <c r="H302" s="31">
        <v>23</v>
      </c>
      <c r="I302" s="31">
        <v>30</v>
      </c>
      <c r="J302" s="30" t="s">
        <v>2902</v>
      </c>
      <c r="K302" s="54">
        <v>7</v>
      </c>
      <c r="L302" s="31">
        <v>43</v>
      </c>
      <c r="M302" s="31">
        <v>36</v>
      </c>
      <c r="N302" s="30" t="s">
        <v>2903</v>
      </c>
      <c r="O302" s="25" t="s">
        <v>237</v>
      </c>
      <c r="P302" s="26" t="s">
        <v>238</v>
      </c>
      <c r="Q302" s="27" t="s">
        <v>145</v>
      </c>
      <c r="R302" s="28"/>
      <c r="S302" s="28"/>
      <c r="T302" s="28" t="s">
        <v>1015</v>
      </c>
      <c r="U302" s="45">
        <f t="shared" si="13"/>
        <v>1426.8</v>
      </c>
    </row>
    <row r="303" spans="1:23" x14ac:dyDescent="0.25">
      <c r="A303" s="228" t="s">
        <v>1473</v>
      </c>
      <c r="B303" s="30" t="s">
        <v>70</v>
      </c>
      <c r="C303" s="29" t="s">
        <v>92</v>
      </c>
      <c r="D303" s="30" t="s">
        <v>878</v>
      </c>
      <c r="E303" s="29" t="s">
        <v>2970</v>
      </c>
      <c r="F303" s="29" t="s">
        <v>721</v>
      </c>
      <c r="G303" s="31">
        <v>44</v>
      </c>
      <c r="H303" s="31">
        <v>44</v>
      </c>
      <c r="I303" s="31">
        <v>25</v>
      </c>
      <c r="J303" s="30" t="s">
        <v>2902</v>
      </c>
      <c r="K303" s="54">
        <v>7</v>
      </c>
      <c r="L303" s="31">
        <v>48</v>
      </c>
      <c r="M303" s="31">
        <v>10</v>
      </c>
      <c r="N303" s="30" t="s">
        <v>2903</v>
      </c>
      <c r="O303" s="25"/>
      <c r="P303" s="26" t="s">
        <v>206</v>
      </c>
      <c r="Q303" s="27" t="s">
        <v>426</v>
      </c>
      <c r="R303" s="28"/>
      <c r="S303" s="28"/>
      <c r="T303" s="28" t="s">
        <v>1028</v>
      </c>
      <c r="U303" s="45" t="str">
        <f t="shared" si="13"/>
        <v/>
      </c>
    </row>
    <row r="304" spans="1:23" x14ac:dyDescent="0.25">
      <c r="A304" s="228" t="s">
        <v>1474</v>
      </c>
      <c r="B304" s="30" t="s">
        <v>70</v>
      </c>
      <c r="C304" s="29" t="s">
        <v>92</v>
      </c>
      <c r="D304" s="30" t="s">
        <v>878</v>
      </c>
      <c r="E304" s="29" t="s">
        <v>2971</v>
      </c>
      <c r="F304" s="29" t="s">
        <v>2972</v>
      </c>
      <c r="G304" s="31">
        <v>44</v>
      </c>
      <c r="H304" s="31">
        <v>29</v>
      </c>
      <c r="I304" s="31">
        <v>53</v>
      </c>
      <c r="J304" s="30" t="s">
        <v>2902</v>
      </c>
      <c r="K304" s="54">
        <v>7</v>
      </c>
      <c r="L304" s="31">
        <v>43</v>
      </c>
      <c r="M304" s="31">
        <v>26</v>
      </c>
      <c r="N304" s="30" t="s">
        <v>2903</v>
      </c>
      <c r="O304" s="25" t="s">
        <v>217</v>
      </c>
      <c r="P304" s="26" t="s">
        <v>187</v>
      </c>
      <c r="Q304" s="27" t="s">
        <v>218</v>
      </c>
      <c r="R304" s="28"/>
      <c r="S304" s="28"/>
      <c r="T304" s="28" t="s">
        <v>2197</v>
      </c>
      <c r="U304" s="45">
        <f t="shared" si="13"/>
        <v>1239.8399999999999</v>
      </c>
    </row>
    <row r="305" spans="1:23" x14ac:dyDescent="0.25">
      <c r="A305" s="228" t="s">
        <v>1496</v>
      </c>
      <c r="B305" s="30" t="s">
        <v>124</v>
      </c>
      <c r="C305" s="29" t="s">
        <v>92</v>
      </c>
      <c r="D305" s="30" t="s">
        <v>879</v>
      </c>
      <c r="E305" s="29" t="s">
        <v>735</v>
      </c>
      <c r="F305" s="29" t="s">
        <v>736</v>
      </c>
      <c r="G305" s="31">
        <v>44</v>
      </c>
      <c r="H305" s="31">
        <v>32</v>
      </c>
      <c r="I305" s="31">
        <v>44</v>
      </c>
      <c r="J305" s="30" t="s">
        <v>2902</v>
      </c>
      <c r="K305" s="54">
        <v>7</v>
      </c>
      <c r="L305" s="31">
        <v>37</v>
      </c>
      <c r="M305" s="31">
        <v>15</v>
      </c>
      <c r="N305" s="30" t="s">
        <v>2903</v>
      </c>
      <c r="O305" s="25">
        <v>380</v>
      </c>
      <c r="P305" s="26" t="s">
        <v>225</v>
      </c>
      <c r="Q305" s="27" t="s">
        <v>2878</v>
      </c>
      <c r="R305" s="28" t="s">
        <v>242</v>
      </c>
      <c r="S305" s="28"/>
      <c r="T305" s="28" t="s">
        <v>784</v>
      </c>
      <c r="U305" s="45">
        <f t="shared" si="13"/>
        <v>1246.3999999999999</v>
      </c>
    </row>
    <row r="306" spans="1:23" x14ac:dyDescent="0.25">
      <c r="A306" s="228" t="s">
        <v>1622</v>
      </c>
      <c r="B306" s="30" t="s">
        <v>70</v>
      </c>
      <c r="C306" s="29" t="s">
        <v>92</v>
      </c>
      <c r="D306" s="30" t="s">
        <v>880</v>
      </c>
      <c r="E306" s="29" t="s">
        <v>3020</v>
      </c>
      <c r="F306" s="29" t="s">
        <v>3021</v>
      </c>
      <c r="G306" s="31">
        <v>45</v>
      </c>
      <c r="H306" s="31">
        <v>42</v>
      </c>
      <c r="I306" s="31">
        <v>26</v>
      </c>
      <c r="J306" s="30" t="s">
        <v>2902</v>
      </c>
      <c r="K306" s="54">
        <v>8</v>
      </c>
      <c r="L306" s="31">
        <v>35</v>
      </c>
      <c r="M306" s="31">
        <v>30</v>
      </c>
      <c r="N306" s="30" t="s">
        <v>2903</v>
      </c>
      <c r="O306" s="25" t="s">
        <v>221</v>
      </c>
      <c r="P306" s="26" t="s">
        <v>191</v>
      </c>
      <c r="Q306" s="27" t="s">
        <v>222</v>
      </c>
      <c r="R306" s="28" t="s">
        <v>223</v>
      </c>
      <c r="S306" s="28"/>
      <c r="T306" s="28" t="s">
        <v>1029</v>
      </c>
      <c r="U306" s="45">
        <f t="shared" si="13"/>
        <v>820</v>
      </c>
    </row>
    <row r="307" spans="1:23" x14ac:dyDescent="0.25">
      <c r="A307" s="228" t="s">
        <v>1623</v>
      </c>
      <c r="B307" s="248" t="s">
        <v>124</v>
      </c>
      <c r="C307" s="249" t="s">
        <v>92</v>
      </c>
      <c r="D307" s="248" t="s">
        <v>880</v>
      </c>
      <c r="E307" s="265" t="s">
        <v>1298</v>
      </c>
      <c r="F307" s="265" t="s">
        <v>1248</v>
      </c>
      <c r="G307" s="250">
        <v>45</v>
      </c>
      <c r="H307" s="250" t="s">
        <v>1249</v>
      </c>
      <c r="I307" s="250">
        <v>54</v>
      </c>
      <c r="J307" s="251" t="s">
        <v>2902</v>
      </c>
      <c r="K307" s="252" t="s">
        <v>1234</v>
      </c>
      <c r="L307" s="250" t="s">
        <v>345</v>
      </c>
      <c r="M307" s="250">
        <v>12</v>
      </c>
      <c r="N307" s="248" t="s">
        <v>2903</v>
      </c>
      <c r="O307" s="253">
        <v>0</v>
      </c>
      <c r="P307" s="260"/>
      <c r="Q307" s="261" t="s">
        <v>1250</v>
      </c>
      <c r="R307" s="262"/>
      <c r="S307" s="263"/>
      <c r="T307" s="263"/>
      <c r="U307" s="264">
        <f t="shared" si="13"/>
        <v>0</v>
      </c>
      <c r="V307" s="259"/>
      <c r="W307" s="259"/>
    </row>
    <row r="308" spans="1:23" x14ac:dyDescent="0.25">
      <c r="A308" s="228" t="s">
        <v>1624</v>
      </c>
      <c r="B308" s="30" t="s">
        <v>128</v>
      </c>
      <c r="C308" s="29" t="s">
        <v>92</v>
      </c>
      <c r="D308" s="30" t="s">
        <v>880</v>
      </c>
      <c r="E308" s="29" t="s">
        <v>3022</v>
      </c>
      <c r="F308" s="29" t="s">
        <v>3022</v>
      </c>
      <c r="G308" s="31">
        <v>45</v>
      </c>
      <c r="H308" s="31">
        <v>29</v>
      </c>
      <c r="I308" s="31">
        <v>44</v>
      </c>
      <c r="J308" s="30" t="s">
        <v>2902</v>
      </c>
      <c r="K308" s="54">
        <v>8</v>
      </c>
      <c r="L308" s="31">
        <v>31</v>
      </c>
      <c r="M308" s="31">
        <v>31</v>
      </c>
      <c r="N308" s="30" t="s">
        <v>2903</v>
      </c>
      <c r="O308" s="25" t="s">
        <v>208</v>
      </c>
      <c r="P308" s="26" t="s">
        <v>204</v>
      </c>
      <c r="Q308" s="27" t="s">
        <v>442</v>
      </c>
      <c r="R308" s="28"/>
      <c r="S308" s="28"/>
      <c r="T308" s="28" t="s">
        <v>443</v>
      </c>
      <c r="U308" s="45">
        <f t="shared" si="13"/>
        <v>574</v>
      </c>
    </row>
    <row r="309" spans="1:23" x14ac:dyDescent="0.25">
      <c r="A309" s="228" t="s">
        <v>1625</v>
      </c>
      <c r="B309" s="30" t="s">
        <v>70</v>
      </c>
      <c r="C309" s="29" t="s">
        <v>92</v>
      </c>
      <c r="D309" s="30" t="s">
        <v>880</v>
      </c>
      <c r="E309" s="29" t="s">
        <v>2641</v>
      </c>
      <c r="F309" s="29" t="s">
        <v>2642</v>
      </c>
      <c r="G309" s="31">
        <v>45</v>
      </c>
      <c r="H309" s="31">
        <v>41</v>
      </c>
      <c r="I309" s="31">
        <v>15</v>
      </c>
      <c r="J309" s="30" t="s">
        <v>2902</v>
      </c>
      <c r="K309" s="54">
        <v>8</v>
      </c>
      <c r="L309" s="31">
        <v>38</v>
      </c>
      <c r="M309" s="31">
        <v>1</v>
      </c>
      <c r="N309" s="30" t="s">
        <v>2903</v>
      </c>
      <c r="O309" s="25">
        <v>300</v>
      </c>
      <c r="P309" s="26" t="s">
        <v>187</v>
      </c>
      <c r="Q309" s="27" t="s">
        <v>2643</v>
      </c>
      <c r="R309" s="28" t="s">
        <v>2644</v>
      </c>
      <c r="S309" s="28"/>
      <c r="T309" s="28" t="s">
        <v>2645</v>
      </c>
      <c r="U309" s="45">
        <f t="shared" si="13"/>
        <v>983.99999999999989</v>
      </c>
    </row>
    <row r="310" spans="1:23" x14ac:dyDescent="0.25">
      <c r="A310" s="228" t="s">
        <v>1626</v>
      </c>
      <c r="B310" s="30" t="s">
        <v>70</v>
      </c>
      <c r="C310" s="29" t="s">
        <v>92</v>
      </c>
      <c r="D310" s="30" t="s">
        <v>880</v>
      </c>
      <c r="E310" s="29" t="s">
        <v>3023</v>
      </c>
      <c r="F310" s="29" t="s">
        <v>722</v>
      </c>
      <c r="G310" s="31">
        <v>45</v>
      </c>
      <c r="H310" s="31">
        <v>42</v>
      </c>
      <c r="I310" s="31">
        <v>25</v>
      </c>
      <c r="J310" s="30" t="s">
        <v>2902</v>
      </c>
      <c r="K310" s="54">
        <v>8</v>
      </c>
      <c r="L310" s="31">
        <v>37</v>
      </c>
      <c r="M310" s="31">
        <v>8</v>
      </c>
      <c r="N310" s="30" t="s">
        <v>2903</v>
      </c>
      <c r="O310" s="25" t="s">
        <v>550</v>
      </c>
      <c r="P310" s="26" t="s">
        <v>187</v>
      </c>
      <c r="Q310" s="27" t="s">
        <v>551</v>
      </c>
      <c r="R310" s="28"/>
      <c r="S310" s="28"/>
      <c r="T310" s="28" t="s">
        <v>1030</v>
      </c>
      <c r="U310" s="45">
        <f t="shared" si="13"/>
        <v>741.28</v>
      </c>
    </row>
    <row r="311" spans="1:23" x14ac:dyDescent="0.25">
      <c r="A311" s="228" t="s">
        <v>1627</v>
      </c>
      <c r="B311" s="30" t="s">
        <v>70</v>
      </c>
      <c r="C311" s="29" t="s">
        <v>92</v>
      </c>
      <c r="D311" s="30" t="s">
        <v>880</v>
      </c>
      <c r="E311" s="29" t="s">
        <v>3024</v>
      </c>
      <c r="F311" s="29" t="s">
        <v>3025</v>
      </c>
      <c r="G311" s="31">
        <v>45</v>
      </c>
      <c r="H311" s="31">
        <v>43</v>
      </c>
      <c r="I311" s="31">
        <v>20</v>
      </c>
      <c r="J311" s="30" t="s">
        <v>2902</v>
      </c>
      <c r="K311" s="54">
        <v>8</v>
      </c>
      <c r="L311" s="31">
        <v>34</v>
      </c>
      <c r="M311" s="31">
        <v>31</v>
      </c>
      <c r="N311" s="30" t="s">
        <v>2903</v>
      </c>
      <c r="O311" s="25" t="s">
        <v>205</v>
      </c>
      <c r="P311" s="26" t="s">
        <v>206</v>
      </c>
      <c r="Q311" s="27" t="s">
        <v>207</v>
      </c>
      <c r="R311" s="28">
        <v>43</v>
      </c>
      <c r="S311" s="28"/>
      <c r="T311" s="28" t="s">
        <v>1045</v>
      </c>
      <c r="U311" s="45">
        <f t="shared" si="13"/>
        <v>852.8</v>
      </c>
    </row>
    <row r="312" spans="1:23" x14ac:dyDescent="0.25">
      <c r="A312" s="228" t="s">
        <v>1628</v>
      </c>
      <c r="B312" s="30" t="s">
        <v>70</v>
      </c>
      <c r="C312" s="29" t="s">
        <v>92</v>
      </c>
      <c r="D312" s="30" t="s">
        <v>880</v>
      </c>
      <c r="E312" s="29" t="s">
        <v>3026</v>
      </c>
      <c r="F312" s="29" t="s">
        <v>723</v>
      </c>
      <c r="G312" s="31">
        <v>45</v>
      </c>
      <c r="H312" s="31">
        <v>36</v>
      </c>
      <c r="I312" s="31">
        <v>35</v>
      </c>
      <c r="J312" s="30" t="s">
        <v>2902</v>
      </c>
      <c r="K312" s="54">
        <v>8</v>
      </c>
      <c r="L312" s="31">
        <v>35</v>
      </c>
      <c r="M312" s="31">
        <v>19</v>
      </c>
      <c r="N312" s="30" t="s">
        <v>2903</v>
      </c>
      <c r="O312" s="25" t="s">
        <v>538</v>
      </c>
      <c r="P312" s="26" t="s">
        <v>251</v>
      </c>
      <c r="Q312" s="27" t="s">
        <v>539</v>
      </c>
      <c r="R312" s="28" t="s">
        <v>171</v>
      </c>
      <c r="S312" s="28"/>
      <c r="T312" s="28" t="s">
        <v>1031</v>
      </c>
      <c r="U312" s="45">
        <f t="shared" si="13"/>
        <v>646.16</v>
      </c>
    </row>
    <row r="313" spans="1:23" x14ac:dyDescent="0.25">
      <c r="A313" s="228" t="s">
        <v>1629</v>
      </c>
      <c r="B313" s="30" t="s">
        <v>70</v>
      </c>
      <c r="C313" s="29" t="s">
        <v>92</v>
      </c>
      <c r="D313" s="30" t="s">
        <v>880</v>
      </c>
      <c r="E313" s="29" t="s">
        <v>757</v>
      </c>
      <c r="F313" s="29" t="s">
        <v>756</v>
      </c>
      <c r="G313" s="31">
        <v>45</v>
      </c>
      <c r="H313" s="31">
        <v>23</v>
      </c>
      <c r="I313" s="31">
        <v>44</v>
      </c>
      <c r="J313" s="30" t="s">
        <v>2902</v>
      </c>
      <c r="K313" s="54">
        <v>8</v>
      </c>
      <c r="L313" s="31">
        <v>42</v>
      </c>
      <c r="M313" s="31">
        <v>23</v>
      </c>
      <c r="N313" s="30" t="s">
        <v>2903</v>
      </c>
      <c r="O313" s="25"/>
      <c r="P313" s="26" t="s">
        <v>232</v>
      </c>
      <c r="Q313" s="27" t="s">
        <v>415</v>
      </c>
      <c r="R313" s="28"/>
      <c r="S313" s="28"/>
      <c r="T313" s="28" t="s">
        <v>769</v>
      </c>
      <c r="U313" s="45" t="str">
        <f t="shared" si="13"/>
        <v/>
      </c>
    </row>
    <row r="314" spans="1:23" x14ac:dyDescent="0.25">
      <c r="A314" s="228" t="s">
        <v>1799</v>
      </c>
      <c r="B314" s="30" t="s">
        <v>128</v>
      </c>
      <c r="C314" s="29" t="s">
        <v>92</v>
      </c>
      <c r="D314" s="30" t="s">
        <v>881</v>
      </c>
      <c r="E314" s="29" t="s">
        <v>27</v>
      </c>
      <c r="F314" s="29" t="s">
        <v>713</v>
      </c>
      <c r="G314" s="31">
        <v>45</v>
      </c>
      <c r="H314" s="31">
        <v>18</v>
      </c>
      <c r="I314" s="31">
        <v>0</v>
      </c>
      <c r="J314" s="30" t="s">
        <v>2902</v>
      </c>
      <c r="K314" s="54">
        <v>7</v>
      </c>
      <c r="L314" s="31">
        <v>40</v>
      </c>
      <c r="M314" s="31">
        <v>0</v>
      </c>
      <c r="N314" s="30" t="s">
        <v>2903</v>
      </c>
      <c r="O314" s="25" t="s">
        <v>186</v>
      </c>
      <c r="P314" s="26" t="s">
        <v>206</v>
      </c>
      <c r="Q314" s="27" t="s">
        <v>227</v>
      </c>
      <c r="R314" s="28" t="s">
        <v>171</v>
      </c>
      <c r="S314" s="28"/>
      <c r="T314" s="28" t="s">
        <v>1016</v>
      </c>
      <c r="U314" s="45">
        <f t="shared" si="13"/>
        <v>918.4</v>
      </c>
    </row>
    <row r="315" spans="1:23" x14ac:dyDescent="0.25">
      <c r="A315" s="228" t="s">
        <v>1800</v>
      </c>
      <c r="B315" s="30" t="s">
        <v>70</v>
      </c>
      <c r="C315" s="29" t="s">
        <v>92</v>
      </c>
      <c r="D315" s="30" t="s">
        <v>881</v>
      </c>
      <c r="E315" s="29" t="s">
        <v>28</v>
      </c>
      <c r="F315" s="29" t="s">
        <v>29</v>
      </c>
      <c r="G315" s="31">
        <v>44</v>
      </c>
      <c r="H315" s="31">
        <v>52</v>
      </c>
      <c r="I315" s="31">
        <v>58</v>
      </c>
      <c r="J315" s="30" t="s">
        <v>2902</v>
      </c>
      <c r="K315" s="54">
        <v>7</v>
      </c>
      <c r="L315" s="31">
        <v>33</v>
      </c>
      <c r="M315" s="31">
        <v>42</v>
      </c>
      <c r="N315" s="30" t="s">
        <v>2903</v>
      </c>
      <c r="O315" s="25" t="s">
        <v>436</v>
      </c>
      <c r="P315" s="26" t="s">
        <v>437</v>
      </c>
      <c r="Q315" s="27" t="s">
        <v>207</v>
      </c>
      <c r="R315" s="28"/>
      <c r="S315" s="28"/>
      <c r="T315" s="28" t="s">
        <v>1032</v>
      </c>
      <c r="U315" s="45">
        <f t="shared" si="13"/>
        <v>797.04</v>
      </c>
    </row>
    <row r="316" spans="1:23" x14ac:dyDescent="0.25">
      <c r="A316" s="228" t="s">
        <v>1801</v>
      </c>
      <c r="B316" s="30" t="s">
        <v>70</v>
      </c>
      <c r="C316" s="29" t="s">
        <v>92</v>
      </c>
      <c r="D316" s="30" t="s">
        <v>881</v>
      </c>
      <c r="E316" s="29" t="s">
        <v>30</v>
      </c>
      <c r="F316" s="29" t="s">
        <v>724</v>
      </c>
      <c r="G316" s="31">
        <v>45</v>
      </c>
      <c r="H316" s="31">
        <v>21</v>
      </c>
      <c r="I316" s="31">
        <v>8</v>
      </c>
      <c r="J316" s="30" t="s">
        <v>2902</v>
      </c>
      <c r="K316" s="54">
        <v>7</v>
      </c>
      <c r="L316" s="31">
        <v>43</v>
      </c>
      <c r="M316" s="31">
        <v>23</v>
      </c>
      <c r="N316" s="30" t="s">
        <v>2903</v>
      </c>
      <c r="O316" s="25">
        <v>285</v>
      </c>
      <c r="P316" s="26" t="s">
        <v>258</v>
      </c>
      <c r="Q316" s="27" t="s">
        <v>218</v>
      </c>
      <c r="R316" s="28"/>
      <c r="S316" s="28"/>
      <c r="T316" s="28" t="s">
        <v>1034</v>
      </c>
      <c r="U316" s="45">
        <f t="shared" si="13"/>
        <v>934.8</v>
      </c>
    </row>
    <row r="317" spans="1:23" x14ac:dyDescent="0.25">
      <c r="A317" s="228" t="s">
        <v>1802</v>
      </c>
      <c r="B317" s="30" t="s">
        <v>128</v>
      </c>
      <c r="C317" s="29" t="s">
        <v>92</v>
      </c>
      <c r="D317" s="30" t="s">
        <v>881</v>
      </c>
      <c r="E317" s="29" t="s">
        <v>742</v>
      </c>
      <c r="F317" s="29" t="s">
        <v>743</v>
      </c>
      <c r="G317" s="31">
        <v>44</v>
      </c>
      <c r="H317" s="31">
        <v>50</v>
      </c>
      <c r="I317" s="31">
        <v>11</v>
      </c>
      <c r="J317" s="30" t="s">
        <v>2902</v>
      </c>
      <c r="K317" s="54">
        <v>7</v>
      </c>
      <c r="L317" s="31">
        <v>22</v>
      </c>
      <c r="M317" s="31">
        <v>34</v>
      </c>
      <c r="N317" s="30" t="s">
        <v>2903</v>
      </c>
      <c r="O317" s="25">
        <v>310</v>
      </c>
      <c r="P317" s="26" t="s">
        <v>277</v>
      </c>
      <c r="Q317" s="27" t="s">
        <v>145</v>
      </c>
      <c r="R317" s="28"/>
      <c r="S317" s="28"/>
      <c r="T317" s="28" t="s">
        <v>780</v>
      </c>
      <c r="U317" s="45">
        <f t="shared" si="13"/>
        <v>1016.8</v>
      </c>
    </row>
    <row r="318" spans="1:23" x14ac:dyDescent="0.25">
      <c r="A318" s="228" t="s">
        <v>1803</v>
      </c>
      <c r="B318" s="30" t="s">
        <v>128</v>
      </c>
      <c r="C318" s="29" t="s">
        <v>92</v>
      </c>
      <c r="D318" s="30" t="s">
        <v>881</v>
      </c>
      <c r="E318" s="29" t="s">
        <v>744</v>
      </c>
      <c r="F318" s="29" t="s">
        <v>745</v>
      </c>
      <c r="G318" s="31">
        <v>45</v>
      </c>
      <c r="H318" s="31">
        <v>29</v>
      </c>
      <c r="I318" s="31">
        <v>10</v>
      </c>
      <c r="J318" s="30" t="s">
        <v>2902</v>
      </c>
      <c r="K318" s="54">
        <v>7</v>
      </c>
      <c r="L318" s="31">
        <v>51</v>
      </c>
      <c r="M318" s="31">
        <v>48</v>
      </c>
      <c r="N318" s="30" t="s">
        <v>2903</v>
      </c>
      <c r="O318" s="25">
        <v>246</v>
      </c>
      <c r="P318" s="26" t="s">
        <v>258</v>
      </c>
      <c r="Q318" s="27" t="s">
        <v>313</v>
      </c>
      <c r="R318" s="28"/>
      <c r="S318" s="28"/>
      <c r="T318" s="28" t="s">
        <v>779</v>
      </c>
      <c r="U318" s="45">
        <f t="shared" si="13"/>
        <v>806.88</v>
      </c>
    </row>
    <row r="319" spans="1:23" x14ac:dyDescent="0.25">
      <c r="A319" s="228" t="s">
        <v>1804</v>
      </c>
      <c r="B319" s="30" t="s">
        <v>128</v>
      </c>
      <c r="C319" s="29" t="s">
        <v>92</v>
      </c>
      <c r="D319" s="30" t="s">
        <v>881</v>
      </c>
      <c r="E319" s="29" t="s">
        <v>31</v>
      </c>
      <c r="F319" s="29" t="s">
        <v>2017</v>
      </c>
      <c r="G319" s="31">
        <v>45</v>
      </c>
      <c r="H319" s="31">
        <v>16</v>
      </c>
      <c r="I319" s="31">
        <v>10</v>
      </c>
      <c r="J319" s="30" t="s">
        <v>2902</v>
      </c>
      <c r="K319" s="54">
        <v>7</v>
      </c>
      <c r="L319" s="31">
        <v>57</v>
      </c>
      <c r="M319" s="31">
        <v>7</v>
      </c>
      <c r="N319" s="30" t="s">
        <v>2903</v>
      </c>
      <c r="O319" s="25" t="s">
        <v>309</v>
      </c>
      <c r="P319" s="26" t="s">
        <v>251</v>
      </c>
      <c r="Q319" s="27" t="s">
        <v>507</v>
      </c>
      <c r="R319" s="28" t="s">
        <v>171</v>
      </c>
      <c r="S319" s="28"/>
      <c r="T319" s="28" t="s">
        <v>1018</v>
      </c>
      <c r="U319" s="45">
        <f t="shared" si="13"/>
        <v>787.19999999999993</v>
      </c>
    </row>
    <row r="320" spans="1:23" x14ac:dyDescent="0.25">
      <c r="A320" s="228" t="s">
        <v>1805</v>
      </c>
      <c r="B320" s="30" t="s">
        <v>70</v>
      </c>
      <c r="C320" s="29" t="s">
        <v>92</v>
      </c>
      <c r="D320" s="30" t="s">
        <v>881</v>
      </c>
      <c r="E320" s="29" t="s">
        <v>219</v>
      </c>
      <c r="F320" s="29" t="s">
        <v>2915</v>
      </c>
      <c r="G320" s="31">
        <v>45</v>
      </c>
      <c r="H320" s="31">
        <v>14</v>
      </c>
      <c r="I320" s="31">
        <v>45</v>
      </c>
      <c r="J320" s="30" t="s">
        <v>2902</v>
      </c>
      <c r="K320" s="54">
        <v>7</v>
      </c>
      <c r="L320" s="31">
        <v>52</v>
      </c>
      <c r="M320" s="31">
        <v>0</v>
      </c>
      <c r="N320" s="30" t="s">
        <v>2903</v>
      </c>
      <c r="O320" s="25" t="s">
        <v>220</v>
      </c>
      <c r="P320" s="26" t="s">
        <v>206</v>
      </c>
      <c r="Q320" s="27" t="s">
        <v>141</v>
      </c>
      <c r="R320" s="28"/>
      <c r="S320" s="28"/>
      <c r="T320" s="28" t="s">
        <v>1046</v>
      </c>
      <c r="U320" s="45">
        <f t="shared" si="13"/>
        <v>715.04</v>
      </c>
    </row>
    <row r="321" spans="1:23" x14ac:dyDescent="0.25">
      <c r="A321" s="228" t="s">
        <v>1806</v>
      </c>
      <c r="B321" s="30" t="s">
        <v>128</v>
      </c>
      <c r="C321" s="29" t="s">
        <v>92</v>
      </c>
      <c r="D321" s="30" t="s">
        <v>881</v>
      </c>
      <c r="E321" s="29" t="s">
        <v>32</v>
      </c>
      <c r="F321" s="29" t="s">
        <v>725</v>
      </c>
      <c r="G321" s="31">
        <v>45</v>
      </c>
      <c r="H321" s="31">
        <v>7</v>
      </c>
      <c r="I321" s="31">
        <v>28</v>
      </c>
      <c r="J321" s="30" t="s">
        <v>2902</v>
      </c>
      <c r="K321" s="54">
        <v>7</v>
      </c>
      <c r="L321" s="31">
        <v>31</v>
      </c>
      <c r="M321" s="31">
        <v>19</v>
      </c>
      <c r="N321" s="30" t="s">
        <v>2903</v>
      </c>
      <c r="O321" s="25" t="s">
        <v>224</v>
      </c>
      <c r="P321" s="26" t="s">
        <v>225</v>
      </c>
      <c r="Q321" s="27" t="s">
        <v>226</v>
      </c>
      <c r="R321" s="28" t="s">
        <v>171</v>
      </c>
      <c r="S321" s="28"/>
      <c r="T321" s="28" t="s">
        <v>1035</v>
      </c>
      <c r="U321" s="45">
        <f t="shared" si="13"/>
        <v>1102.08</v>
      </c>
    </row>
    <row r="322" spans="1:23" x14ac:dyDescent="0.25">
      <c r="A322" s="228" t="s">
        <v>1807</v>
      </c>
      <c r="B322" s="30" t="s">
        <v>70</v>
      </c>
      <c r="C322" s="29" t="s">
        <v>92</v>
      </c>
      <c r="D322" s="30" t="s">
        <v>881</v>
      </c>
      <c r="E322" s="29" t="s">
        <v>758</v>
      </c>
      <c r="F322" s="29" t="s">
        <v>759</v>
      </c>
      <c r="G322" s="31">
        <v>44</v>
      </c>
      <c r="H322" s="31">
        <v>52</v>
      </c>
      <c r="I322" s="31">
        <v>12</v>
      </c>
      <c r="J322" s="30" t="s">
        <v>2902</v>
      </c>
      <c r="K322" s="54">
        <v>7</v>
      </c>
      <c r="L322" s="31">
        <v>25</v>
      </c>
      <c r="M322" s="31">
        <v>12</v>
      </c>
      <c r="N322" s="30" t="s">
        <v>2903</v>
      </c>
      <c r="O322" s="25">
        <v>300</v>
      </c>
      <c r="P322" s="26" t="s">
        <v>342</v>
      </c>
      <c r="Q322" s="27" t="s">
        <v>271</v>
      </c>
      <c r="R322" s="28"/>
      <c r="S322" s="28"/>
      <c r="T322" s="28" t="s">
        <v>768</v>
      </c>
      <c r="U322" s="45">
        <f t="shared" si="13"/>
        <v>983.99999999999989</v>
      </c>
    </row>
    <row r="323" spans="1:23" x14ac:dyDescent="0.25">
      <c r="A323" s="228" t="s">
        <v>1808</v>
      </c>
      <c r="B323" s="30" t="s">
        <v>70</v>
      </c>
      <c r="C323" s="29" t="s">
        <v>92</v>
      </c>
      <c r="D323" s="30" t="s">
        <v>881</v>
      </c>
      <c r="E323" s="29" t="s">
        <v>726</v>
      </c>
      <c r="F323" s="29" t="s">
        <v>2177</v>
      </c>
      <c r="G323" s="31">
        <v>44</v>
      </c>
      <c r="H323" s="31">
        <v>59</v>
      </c>
      <c r="I323" s="31">
        <v>20</v>
      </c>
      <c r="J323" s="30" t="s">
        <v>2902</v>
      </c>
      <c r="K323" s="54">
        <v>7</v>
      </c>
      <c r="L323" s="31">
        <v>55</v>
      </c>
      <c r="M323" s="31">
        <v>19</v>
      </c>
      <c r="N323" s="30" t="s">
        <v>2903</v>
      </c>
      <c r="O323" s="44" t="s">
        <v>186</v>
      </c>
      <c r="P323" s="26" t="s">
        <v>187</v>
      </c>
      <c r="Q323" s="27" t="s">
        <v>188</v>
      </c>
      <c r="R323" s="28"/>
      <c r="S323" s="28"/>
      <c r="T323" s="28" t="s">
        <v>189</v>
      </c>
      <c r="U323" s="45">
        <f t="shared" si="13"/>
        <v>918.4</v>
      </c>
    </row>
    <row r="324" spans="1:23" x14ac:dyDescent="0.25">
      <c r="A324" s="228" t="s">
        <v>1809</v>
      </c>
      <c r="B324" s="30" t="s">
        <v>70</v>
      </c>
      <c r="C324" s="29" t="s">
        <v>92</v>
      </c>
      <c r="D324" s="30" t="s">
        <v>881</v>
      </c>
      <c r="E324" s="29" t="s">
        <v>760</v>
      </c>
      <c r="F324" s="29" t="s">
        <v>761</v>
      </c>
      <c r="G324" s="31">
        <v>45</v>
      </c>
      <c r="H324" s="31">
        <v>21</v>
      </c>
      <c r="I324" s="31">
        <v>10</v>
      </c>
      <c r="J324" s="30" t="s">
        <v>2902</v>
      </c>
      <c r="K324" s="54">
        <v>7</v>
      </c>
      <c r="L324" s="31">
        <v>54</v>
      </c>
      <c r="M324" s="31">
        <v>30</v>
      </c>
      <c r="N324" s="30" t="s">
        <v>2903</v>
      </c>
      <c r="O324" s="44">
        <v>230</v>
      </c>
      <c r="P324" s="26" t="s">
        <v>206</v>
      </c>
      <c r="Q324" s="27" t="s">
        <v>766</v>
      </c>
      <c r="R324" s="28"/>
      <c r="S324" s="28"/>
      <c r="T324" s="28" t="s">
        <v>767</v>
      </c>
      <c r="U324" s="45">
        <f t="shared" si="13"/>
        <v>754.4</v>
      </c>
    </row>
    <row r="325" spans="1:23" x14ac:dyDescent="0.25">
      <c r="A325" s="228" t="s">
        <v>1810</v>
      </c>
      <c r="B325" s="30" t="s">
        <v>70</v>
      </c>
      <c r="C325" s="29" t="s">
        <v>92</v>
      </c>
      <c r="D325" s="30" t="s">
        <v>881</v>
      </c>
      <c r="E325" s="29" t="s">
        <v>2646</v>
      </c>
      <c r="F325" s="29" t="s">
        <v>2647</v>
      </c>
      <c r="G325" s="31">
        <v>44</v>
      </c>
      <c r="H325" s="31">
        <v>56</v>
      </c>
      <c r="I325" s="31">
        <v>54</v>
      </c>
      <c r="J325" s="30" t="s">
        <v>2902</v>
      </c>
      <c r="K325" s="54">
        <v>7</v>
      </c>
      <c r="L325" s="31">
        <v>39</v>
      </c>
      <c r="M325" s="31">
        <v>36</v>
      </c>
      <c r="N325" s="30" t="s">
        <v>2903</v>
      </c>
      <c r="O325" s="44">
        <v>230</v>
      </c>
      <c r="P325" s="26" t="s">
        <v>275</v>
      </c>
      <c r="Q325" s="27" t="s">
        <v>511</v>
      </c>
      <c r="R325" s="28"/>
      <c r="S325" s="28"/>
      <c r="T325" s="28" t="s">
        <v>2648</v>
      </c>
      <c r="U325" s="45">
        <f t="shared" si="13"/>
        <v>754.4</v>
      </c>
    </row>
    <row r="326" spans="1:23" x14ac:dyDescent="0.25">
      <c r="A326" s="228" t="s">
        <v>1811</v>
      </c>
      <c r="B326" s="30" t="s">
        <v>124</v>
      </c>
      <c r="C326" s="29" t="s">
        <v>92</v>
      </c>
      <c r="D326" s="30" t="s">
        <v>881</v>
      </c>
      <c r="E326" s="29" t="s">
        <v>737</v>
      </c>
      <c r="F326" s="29" t="s">
        <v>738</v>
      </c>
      <c r="G326" s="31">
        <v>45</v>
      </c>
      <c r="H326" s="31">
        <v>5</v>
      </c>
      <c r="I326" s="31">
        <v>7</v>
      </c>
      <c r="J326" s="30" t="s">
        <v>2902</v>
      </c>
      <c r="K326" s="54">
        <v>7</v>
      </c>
      <c r="L326" s="31">
        <v>36</v>
      </c>
      <c r="M326" s="31">
        <v>15</v>
      </c>
      <c r="N326" s="30" t="s">
        <v>2903</v>
      </c>
      <c r="O326" s="44">
        <v>290</v>
      </c>
      <c r="P326" s="26" t="s">
        <v>267</v>
      </c>
      <c r="Q326" s="27" t="s">
        <v>2876</v>
      </c>
      <c r="R326" s="28" t="s">
        <v>2638</v>
      </c>
      <c r="S326" s="28"/>
      <c r="T326" s="28" t="s">
        <v>785</v>
      </c>
      <c r="U326" s="45">
        <f t="shared" si="13"/>
        <v>951.19999999999993</v>
      </c>
    </row>
    <row r="327" spans="1:23" x14ac:dyDescent="0.25">
      <c r="A327" s="228" t="s">
        <v>1812</v>
      </c>
      <c r="B327" s="30" t="s">
        <v>124</v>
      </c>
      <c r="C327" s="29" t="s">
        <v>92</v>
      </c>
      <c r="D327" s="30" t="s">
        <v>881</v>
      </c>
      <c r="E327" s="29" t="s">
        <v>737</v>
      </c>
      <c r="F327" s="29" t="s">
        <v>739</v>
      </c>
      <c r="G327" s="31">
        <v>45</v>
      </c>
      <c r="H327" s="31">
        <v>12</v>
      </c>
      <c r="I327" s="31">
        <v>4</v>
      </c>
      <c r="J327" s="30" t="s">
        <v>2902</v>
      </c>
      <c r="K327" s="54">
        <v>7</v>
      </c>
      <c r="L327" s="31">
        <v>39</v>
      </c>
      <c r="M327" s="31">
        <v>0</v>
      </c>
      <c r="N327" s="30" t="s">
        <v>2903</v>
      </c>
      <c r="O327" s="44">
        <v>300</v>
      </c>
      <c r="P327" s="26" t="s">
        <v>206</v>
      </c>
      <c r="Q327" s="27" t="s">
        <v>2879</v>
      </c>
      <c r="R327" s="28"/>
      <c r="S327" s="28"/>
      <c r="T327" s="28" t="s">
        <v>786</v>
      </c>
      <c r="U327" s="45">
        <f t="shared" si="13"/>
        <v>983.99999999999989</v>
      </c>
    </row>
    <row r="328" spans="1:23" s="247" customFormat="1" x14ac:dyDescent="0.25">
      <c r="A328" s="228" t="s">
        <v>1813</v>
      </c>
      <c r="B328" s="30" t="s">
        <v>70</v>
      </c>
      <c r="C328" s="29" t="s">
        <v>92</v>
      </c>
      <c r="D328" s="30" t="s">
        <v>881</v>
      </c>
      <c r="E328" s="29" t="s">
        <v>59</v>
      </c>
      <c r="F328" s="29" t="s">
        <v>2020</v>
      </c>
      <c r="G328" s="31">
        <v>45</v>
      </c>
      <c r="H328" s="31">
        <v>9</v>
      </c>
      <c r="I328" s="31">
        <v>50</v>
      </c>
      <c r="J328" s="30" t="s">
        <v>2902</v>
      </c>
      <c r="K328" s="54">
        <v>8</v>
      </c>
      <c r="L328" s="31">
        <v>7</v>
      </c>
      <c r="M328" s="31">
        <v>24</v>
      </c>
      <c r="N328" s="30" t="s">
        <v>2903</v>
      </c>
      <c r="O328" s="44" t="s">
        <v>203</v>
      </c>
      <c r="P328" s="26" t="s">
        <v>342</v>
      </c>
      <c r="Q328" s="27" t="s">
        <v>519</v>
      </c>
      <c r="R328" s="28"/>
      <c r="S328" s="28"/>
      <c r="T328" s="28" t="s">
        <v>1043</v>
      </c>
      <c r="U328" s="45">
        <f t="shared" si="13"/>
        <v>426.4</v>
      </c>
      <c r="V328" s="8"/>
      <c r="W328" s="8"/>
    </row>
    <row r="329" spans="1:23" x14ac:dyDescent="0.25">
      <c r="A329" s="228" t="s">
        <v>1814</v>
      </c>
      <c r="B329" s="30" t="s">
        <v>128</v>
      </c>
      <c r="C329" s="29" t="s">
        <v>92</v>
      </c>
      <c r="D329" s="30" t="s">
        <v>881</v>
      </c>
      <c r="E329" s="29" t="s">
        <v>746</v>
      </c>
      <c r="F329" s="29" t="s">
        <v>747</v>
      </c>
      <c r="G329" s="31">
        <v>44</v>
      </c>
      <c r="H329" s="31">
        <v>50</v>
      </c>
      <c r="I329" s="31">
        <v>0</v>
      </c>
      <c r="J329" s="30" t="s">
        <v>2902</v>
      </c>
      <c r="K329" s="54">
        <v>7</v>
      </c>
      <c r="L329" s="31">
        <v>32</v>
      </c>
      <c r="M329" s="31">
        <v>0</v>
      </c>
      <c r="N329" s="30" t="s">
        <v>2903</v>
      </c>
      <c r="O329" s="44">
        <v>260</v>
      </c>
      <c r="P329" s="26" t="s">
        <v>214</v>
      </c>
      <c r="Q329" s="27" t="s">
        <v>777</v>
      </c>
      <c r="R329" s="28"/>
      <c r="S329" s="28"/>
      <c r="T329" s="28" t="s">
        <v>1019</v>
      </c>
      <c r="U329" s="45">
        <f t="shared" si="13"/>
        <v>852.8</v>
      </c>
    </row>
    <row r="330" spans="1:23" x14ac:dyDescent="0.25">
      <c r="A330" s="228" t="s">
        <v>1815</v>
      </c>
      <c r="B330" s="30" t="s">
        <v>70</v>
      </c>
      <c r="C330" s="29" t="s">
        <v>92</v>
      </c>
      <c r="D330" s="30" t="s">
        <v>881</v>
      </c>
      <c r="E330" s="29" t="s">
        <v>762</v>
      </c>
      <c r="F330" s="29" t="s">
        <v>763</v>
      </c>
      <c r="G330" s="31">
        <v>44</v>
      </c>
      <c r="H330" s="31">
        <v>50</v>
      </c>
      <c r="I330" s="31">
        <v>55</v>
      </c>
      <c r="J330" s="30" t="s">
        <v>2902</v>
      </c>
      <c r="K330" s="54">
        <v>7</v>
      </c>
      <c r="L330" s="31">
        <v>33</v>
      </c>
      <c r="M330" s="31">
        <v>44</v>
      </c>
      <c r="N330" s="30" t="s">
        <v>2903</v>
      </c>
      <c r="O330" s="44">
        <v>150</v>
      </c>
      <c r="P330" s="26" t="s">
        <v>275</v>
      </c>
      <c r="Q330" s="27" t="s">
        <v>764</v>
      </c>
      <c r="R330" s="28"/>
      <c r="S330" s="28"/>
      <c r="T330" s="28" t="s">
        <v>765</v>
      </c>
      <c r="U330" s="45">
        <f t="shared" si="13"/>
        <v>491.99999999999994</v>
      </c>
    </row>
    <row r="331" spans="1:23" x14ac:dyDescent="0.25">
      <c r="A331" s="228" t="s">
        <v>1816</v>
      </c>
      <c r="B331" s="30" t="s">
        <v>128</v>
      </c>
      <c r="C331" s="29" t="s">
        <v>92</v>
      </c>
      <c r="D331" s="30" t="s">
        <v>881</v>
      </c>
      <c r="E331" s="29" t="s">
        <v>33</v>
      </c>
      <c r="F331" s="29" t="s">
        <v>1247</v>
      </c>
      <c r="G331" s="31">
        <v>45</v>
      </c>
      <c r="H331" s="31">
        <v>20</v>
      </c>
      <c r="I331" s="31">
        <v>50</v>
      </c>
      <c r="J331" s="30" t="s">
        <v>2902</v>
      </c>
      <c r="K331" s="54">
        <v>7</v>
      </c>
      <c r="L331" s="31">
        <v>55</v>
      </c>
      <c r="M331" s="31">
        <v>17</v>
      </c>
      <c r="N331" s="30" t="s">
        <v>2903</v>
      </c>
      <c r="O331" s="44" t="s">
        <v>211</v>
      </c>
      <c r="P331" s="26" t="s">
        <v>206</v>
      </c>
      <c r="Q331" s="27" t="s">
        <v>212</v>
      </c>
      <c r="R331" s="28" t="s">
        <v>171</v>
      </c>
      <c r="S331" s="28"/>
      <c r="T331" s="28" t="s">
        <v>1020</v>
      </c>
      <c r="U331" s="45">
        <f t="shared" si="13"/>
        <v>780.64</v>
      </c>
    </row>
    <row r="332" spans="1:23" s="247" customFormat="1" x14ac:dyDescent="0.25">
      <c r="A332" s="228" t="s">
        <v>1867</v>
      </c>
      <c r="B332" s="30" t="s">
        <v>128</v>
      </c>
      <c r="C332" s="29" t="s">
        <v>92</v>
      </c>
      <c r="D332" s="30" t="s">
        <v>882</v>
      </c>
      <c r="E332" s="29" t="s">
        <v>56</v>
      </c>
      <c r="F332" s="29" t="s">
        <v>56</v>
      </c>
      <c r="G332" s="31">
        <v>46</v>
      </c>
      <c r="H332" s="31">
        <v>9</v>
      </c>
      <c r="I332" s="31">
        <v>0</v>
      </c>
      <c r="J332" s="30" t="s">
        <v>2902</v>
      </c>
      <c r="K332" s="54">
        <v>8</v>
      </c>
      <c r="L332" s="31">
        <v>18</v>
      </c>
      <c r="M332" s="31">
        <v>0</v>
      </c>
      <c r="N332" s="30" t="s">
        <v>2903</v>
      </c>
      <c r="O332" s="44" t="s">
        <v>505</v>
      </c>
      <c r="P332" s="26" t="s">
        <v>506</v>
      </c>
      <c r="Q332" s="27" t="s">
        <v>163</v>
      </c>
      <c r="R332" s="28" t="s">
        <v>171</v>
      </c>
      <c r="S332" s="28"/>
      <c r="T332" s="28" t="s">
        <v>1021</v>
      </c>
      <c r="U332" s="45">
        <f t="shared" si="13"/>
        <v>1006.9599999999999</v>
      </c>
      <c r="V332" s="8"/>
      <c r="W332" s="8"/>
    </row>
    <row r="333" spans="1:23" s="247" customFormat="1" x14ac:dyDescent="0.25">
      <c r="A333" s="228" t="s">
        <v>1868</v>
      </c>
      <c r="B333" s="30" t="s">
        <v>128</v>
      </c>
      <c r="C333" s="29" t="s">
        <v>92</v>
      </c>
      <c r="D333" s="30" t="s">
        <v>883</v>
      </c>
      <c r="E333" s="29" t="s">
        <v>748</v>
      </c>
      <c r="F333" s="29" t="s">
        <v>748</v>
      </c>
      <c r="G333" s="31">
        <v>45</v>
      </c>
      <c r="H333" s="31">
        <v>36</v>
      </c>
      <c r="I333" s="31">
        <v>25</v>
      </c>
      <c r="J333" s="30" t="s">
        <v>2902</v>
      </c>
      <c r="K333" s="54">
        <v>8</v>
      </c>
      <c r="L333" s="31">
        <v>15</v>
      </c>
      <c r="M333" s="31">
        <v>57</v>
      </c>
      <c r="N333" s="30" t="s">
        <v>2903</v>
      </c>
      <c r="O333" s="44">
        <v>280</v>
      </c>
      <c r="P333" s="26" t="s">
        <v>275</v>
      </c>
      <c r="Q333" s="27" t="s">
        <v>775</v>
      </c>
      <c r="R333" s="28"/>
      <c r="S333" s="28"/>
      <c r="T333" s="28" t="s">
        <v>776</v>
      </c>
      <c r="U333" s="45">
        <f t="shared" si="13"/>
        <v>918.4</v>
      </c>
      <c r="V333" s="8"/>
      <c r="W333" s="8"/>
    </row>
    <row r="334" spans="1:23" x14ac:dyDescent="0.25">
      <c r="A334" s="228" t="s">
        <v>1869</v>
      </c>
      <c r="B334" s="30" t="s">
        <v>70</v>
      </c>
      <c r="C334" s="29" t="s">
        <v>92</v>
      </c>
      <c r="D334" s="30" t="s">
        <v>883</v>
      </c>
      <c r="E334" s="29" t="s">
        <v>57</v>
      </c>
      <c r="F334" s="29" t="s">
        <v>58</v>
      </c>
      <c r="G334" s="31">
        <v>45</v>
      </c>
      <c r="H334" s="31">
        <v>19</v>
      </c>
      <c r="I334" s="31">
        <v>25</v>
      </c>
      <c r="J334" s="30" t="s">
        <v>2902</v>
      </c>
      <c r="K334" s="54">
        <v>8</v>
      </c>
      <c r="L334" s="31">
        <v>0</v>
      </c>
      <c r="M334" s="31">
        <v>3</v>
      </c>
      <c r="N334" s="30" t="s">
        <v>2903</v>
      </c>
      <c r="O334" s="44" t="s">
        <v>244</v>
      </c>
      <c r="P334" s="26" t="s">
        <v>206</v>
      </c>
      <c r="Q334" s="27" t="s">
        <v>245</v>
      </c>
      <c r="R334" s="28"/>
      <c r="S334" s="28"/>
      <c r="T334" s="28" t="s">
        <v>1044</v>
      </c>
      <c r="U334" s="45">
        <f t="shared" si="13"/>
        <v>951.19999999999993</v>
      </c>
    </row>
    <row r="335" spans="1:23" x14ac:dyDescent="0.25">
      <c r="A335" s="228" t="s">
        <v>1870</v>
      </c>
      <c r="B335" s="30" t="s">
        <v>70</v>
      </c>
      <c r="C335" s="29" t="s">
        <v>92</v>
      </c>
      <c r="D335" s="30" t="s">
        <v>883</v>
      </c>
      <c r="E335" s="29" t="s">
        <v>2118</v>
      </c>
      <c r="F335" s="29" t="s">
        <v>2118</v>
      </c>
      <c r="G335" s="31">
        <v>45</v>
      </c>
      <c r="H335" s="31">
        <v>23</v>
      </c>
      <c r="I335" s="31">
        <v>26</v>
      </c>
      <c r="J335" s="30" t="s">
        <v>2902</v>
      </c>
      <c r="K335" s="54">
        <v>8</v>
      </c>
      <c r="L335" s="31">
        <v>8</v>
      </c>
      <c r="M335" s="31">
        <v>22</v>
      </c>
      <c r="N335" s="30" t="s">
        <v>2903</v>
      </c>
      <c r="O335" s="44">
        <v>132</v>
      </c>
      <c r="P335" s="26" t="s">
        <v>606</v>
      </c>
      <c r="Q335" s="27" t="s">
        <v>2119</v>
      </c>
      <c r="R335" s="28"/>
      <c r="S335" s="28"/>
      <c r="T335" s="28" t="s">
        <v>2120</v>
      </c>
      <c r="U335" s="45">
        <f t="shared" si="13"/>
        <v>432.96</v>
      </c>
    </row>
    <row r="336" spans="1:23" x14ac:dyDescent="0.25">
      <c r="A336" s="228" t="s">
        <v>1871</v>
      </c>
      <c r="B336" s="30" t="s">
        <v>124</v>
      </c>
      <c r="C336" s="29" t="s">
        <v>92</v>
      </c>
      <c r="D336" s="30" t="s">
        <v>883</v>
      </c>
      <c r="E336" s="29" t="s">
        <v>740</v>
      </c>
      <c r="F336" s="29" t="s">
        <v>741</v>
      </c>
      <c r="G336" s="31">
        <v>45</v>
      </c>
      <c r="H336" s="31">
        <v>18</v>
      </c>
      <c r="I336" s="31">
        <v>38</v>
      </c>
      <c r="J336" s="30" t="s">
        <v>2902</v>
      </c>
      <c r="K336" s="54">
        <v>8</v>
      </c>
      <c r="L336" s="31">
        <v>25</v>
      </c>
      <c r="M336" s="31">
        <v>4</v>
      </c>
      <c r="N336" s="30" t="s">
        <v>2903</v>
      </c>
      <c r="O336" s="44">
        <v>127</v>
      </c>
      <c r="P336" s="26" t="s">
        <v>204</v>
      </c>
      <c r="Q336" s="27" t="s">
        <v>787</v>
      </c>
      <c r="R336" s="28" t="s">
        <v>485</v>
      </c>
      <c r="S336" s="28"/>
      <c r="T336" s="28" t="s">
        <v>788</v>
      </c>
      <c r="U336" s="45">
        <f t="shared" si="13"/>
        <v>416.56</v>
      </c>
    </row>
    <row r="337" spans="1:23" x14ac:dyDescent="0.25">
      <c r="A337" s="228" t="s">
        <v>1386</v>
      </c>
      <c r="B337" s="37" t="s">
        <v>128</v>
      </c>
      <c r="C337" s="8" t="s">
        <v>103</v>
      </c>
      <c r="D337" s="37" t="s">
        <v>884</v>
      </c>
      <c r="E337" s="8" t="s">
        <v>2665</v>
      </c>
      <c r="F337" s="8" t="s">
        <v>2666</v>
      </c>
      <c r="G337" s="38">
        <v>40</v>
      </c>
      <c r="H337" s="38">
        <v>56</v>
      </c>
      <c r="I337" s="38">
        <v>32</v>
      </c>
      <c r="J337" s="37" t="s">
        <v>2902</v>
      </c>
      <c r="K337" s="52">
        <v>16</v>
      </c>
      <c r="L337" s="38">
        <v>29</v>
      </c>
      <c r="M337" s="38">
        <v>42</v>
      </c>
      <c r="N337" s="37" t="s">
        <v>2903</v>
      </c>
      <c r="O337" s="27">
        <v>460</v>
      </c>
      <c r="P337" s="26" t="s">
        <v>342</v>
      </c>
      <c r="Q337" s="27" t="s">
        <v>478</v>
      </c>
      <c r="R337" s="28" t="s">
        <v>2803</v>
      </c>
      <c r="S337" s="28"/>
      <c r="T337" s="28" t="s">
        <v>2667</v>
      </c>
      <c r="U337" s="45">
        <f t="shared" si="13"/>
        <v>1508.8</v>
      </c>
    </row>
    <row r="338" spans="1:23" x14ac:dyDescent="0.25">
      <c r="A338" s="229" t="s">
        <v>1387</v>
      </c>
      <c r="B338" s="267" t="s">
        <v>70</v>
      </c>
      <c r="C338" s="268" t="s">
        <v>103</v>
      </c>
      <c r="D338" s="267" t="s">
        <v>884</v>
      </c>
      <c r="E338" s="268" t="s">
        <v>1244</v>
      </c>
      <c r="F338" s="268" t="s">
        <v>1245</v>
      </c>
      <c r="G338" s="269">
        <v>41</v>
      </c>
      <c r="H338" s="269">
        <v>3</v>
      </c>
      <c r="I338" s="269">
        <v>42</v>
      </c>
      <c r="J338" s="270" t="s">
        <v>2902</v>
      </c>
      <c r="K338" s="271">
        <v>16</v>
      </c>
      <c r="L338" s="269">
        <v>16</v>
      </c>
      <c r="M338" s="269">
        <v>56</v>
      </c>
      <c r="N338" s="267" t="s">
        <v>2903</v>
      </c>
      <c r="O338" s="272">
        <v>300</v>
      </c>
      <c r="P338" s="260" t="s">
        <v>342</v>
      </c>
      <c r="Q338" s="261" t="s">
        <v>163</v>
      </c>
      <c r="R338" s="262"/>
      <c r="S338" s="263"/>
      <c r="T338" s="263" t="s">
        <v>1246</v>
      </c>
      <c r="U338" s="264">
        <v>984</v>
      </c>
      <c r="V338" s="259"/>
      <c r="W338" s="259"/>
    </row>
    <row r="339" spans="1:23" x14ac:dyDescent="0.25">
      <c r="A339" s="228" t="s">
        <v>1388</v>
      </c>
      <c r="B339" s="37" t="s">
        <v>124</v>
      </c>
      <c r="C339" s="8" t="s">
        <v>103</v>
      </c>
      <c r="D339" s="37" t="s">
        <v>884</v>
      </c>
      <c r="E339" s="4" t="s">
        <v>2649</v>
      </c>
      <c r="F339" s="4" t="s">
        <v>2650</v>
      </c>
      <c r="G339" s="32">
        <v>41</v>
      </c>
      <c r="H339" s="32">
        <v>8</v>
      </c>
      <c r="I339" s="32">
        <v>15</v>
      </c>
      <c r="J339" s="5" t="s">
        <v>2902</v>
      </c>
      <c r="K339" s="51">
        <v>16</v>
      </c>
      <c r="L339" s="32">
        <v>45</v>
      </c>
      <c r="M339" s="32">
        <v>54</v>
      </c>
      <c r="N339" s="5" t="s">
        <v>2903</v>
      </c>
      <c r="O339" s="27">
        <v>55</v>
      </c>
      <c r="P339" s="26" t="s">
        <v>251</v>
      </c>
      <c r="Q339" s="27" t="s">
        <v>2651</v>
      </c>
      <c r="R339" s="28" t="s">
        <v>2802</v>
      </c>
      <c r="S339" s="28"/>
      <c r="T339" s="28" t="s">
        <v>2652</v>
      </c>
      <c r="U339" s="45">
        <f t="shared" ref="U339:U347" si="14">IF(O339&lt;&gt;"",O339*3.28,"")</f>
        <v>180.39999999999998</v>
      </c>
    </row>
    <row r="340" spans="1:23" x14ac:dyDescent="0.25">
      <c r="A340" s="229" t="s">
        <v>1389</v>
      </c>
      <c r="B340" s="267" t="s">
        <v>124</v>
      </c>
      <c r="C340" s="268" t="s">
        <v>103</v>
      </c>
      <c r="D340" s="267" t="s">
        <v>884</v>
      </c>
      <c r="E340" s="268" t="s">
        <v>2649</v>
      </c>
      <c r="F340" s="268" t="s">
        <v>1242</v>
      </c>
      <c r="G340" s="269">
        <v>40</v>
      </c>
      <c r="H340" s="269">
        <v>46</v>
      </c>
      <c r="I340" s="269">
        <v>4</v>
      </c>
      <c r="J340" s="270" t="s">
        <v>2902</v>
      </c>
      <c r="K340" s="271">
        <v>16</v>
      </c>
      <c r="L340" s="269">
        <v>56</v>
      </c>
      <c r="M340" s="269">
        <v>0</v>
      </c>
      <c r="N340" s="267" t="s">
        <v>2903</v>
      </c>
      <c r="O340" s="272">
        <v>362</v>
      </c>
      <c r="P340" s="260" t="s">
        <v>251</v>
      </c>
      <c r="Q340" s="261" t="s">
        <v>2869</v>
      </c>
      <c r="R340" s="262" t="s">
        <v>1243</v>
      </c>
      <c r="S340" s="263"/>
      <c r="T340" s="263"/>
      <c r="U340" s="264">
        <f t="shared" si="14"/>
        <v>1187.3599999999999</v>
      </c>
      <c r="V340" s="259"/>
      <c r="W340" s="259"/>
    </row>
    <row r="341" spans="1:23" x14ac:dyDescent="0.25">
      <c r="A341" s="228" t="s">
        <v>1390</v>
      </c>
      <c r="B341" s="5" t="s">
        <v>70</v>
      </c>
      <c r="C341" s="4" t="s">
        <v>103</v>
      </c>
      <c r="D341" s="5" t="s">
        <v>884</v>
      </c>
      <c r="E341" s="4" t="s">
        <v>2914</v>
      </c>
      <c r="F341" s="4" t="s">
        <v>2915</v>
      </c>
      <c r="G341" s="32">
        <v>40</v>
      </c>
      <c r="H341" s="32">
        <v>58</v>
      </c>
      <c r="I341" s="32">
        <v>34</v>
      </c>
      <c r="J341" s="5" t="s">
        <v>2902</v>
      </c>
      <c r="K341" s="51">
        <v>16</v>
      </c>
      <c r="L341" s="32">
        <v>54</v>
      </c>
      <c r="M341" s="32">
        <v>30</v>
      </c>
      <c r="N341" s="5" t="s">
        <v>2903</v>
      </c>
      <c r="O341" s="33" t="s">
        <v>221</v>
      </c>
      <c r="P341" s="26" t="s">
        <v>275</v>
      </c>
      <c r="Q341" s="27" t="s">
        <v>409</v>
      </c>
      <c r="R341" s="28"/>
      <c r="S341" s="28"/>
      <c r="T341" s="28" t="s">
        <v>1127</v>
      </c>
      <c r="U341" s="45">
        <f t="shared" si="14"/>
        <v>820</v>
      </c>
    </row>
    <row r="342" spans="1:23" x14ac:dyDescent="0.25">
      <c r="A342" s="231" t="s">
        <v>1391</v>
      </c>
      <c r="B342" s="37" t="s">
        <v>70</v>
      </c>
      <c r="C342" s="8" t="s">
        <v>103</v>
      </c>
      <c r="D342" s="37" t="s">
        <v>884</v>
      </c>
      <c r="E342" s="8" t="s">
        <v>2916</v>
      </c>
      <c r="F342" s="4" t="s">
        <v>2917</v>
      </c>
      <c r="G342" s="38">
        <v>40</v>
      </c>
      <c r="H342" s="38">
        <v>59</v>
      </c>
      <c r="I342" s="38">
        <v>35</v>
      </c>
      <c r="J342" s="37" t="s">
        <v>2902</v>
      </c>
      <c r="K342" s="52">
        <v>16</v>
      </c>
      <c r="L342" s="38">
        <v>24</v>
      </c>
      <c r="M342" s="38">
        <v>51</v>
      </c>
      <c r="N342" s="37" t="s">
        <v>2903</v>
      </c>
      <c r="O342" s="27" t="s">
        <v>468</v>
      </c>
      <c r="P342" s="26" t="s">
        <v>267</v>
      </c>
      <c r="Q342" s="27" t="s">
        <v>469</v>
      </c>
      <c r="R342" s="28"/>
      <c r="S342" s="28"/>
      <c r="T342" s="28" t="s">
        <v>1128</v>
      </c>
      <c r="U342" s="45">
        <f t="shared" si="14"/>
        <v>1574.3999999999999</v>
      </c>
    </row>
    <row r="343" spans="1:23" x14ac:dyDescent="0.25">
      <c r="A343" s="228" t="s">
        <v>1392</v>
      </c>
      <c r="B343" s="5" t="s">
        <v>128</v>
      </c>
      <c r="C343" s="4" t="s">
        <v>103</v>
      </c>
      <c r="D343" s="5" t="s">
        <v>884</v>
      </c>
      <c r="E343" s="4" t="s">
        <v>2668</v>
      </c>
      <c r="F343" s="4" t="s">
        <v>2669</v>
      </c>
      <c r="G343" s="32">
        <v>40</v>
      </c>
      <c r="H343" s="32">
        <v>57</v>
      </c>
      <c r="I343" s="32">
        <v>50</v>
      </c>
      <c r="J343" s="5" t="s">
        <v>2902</v>
      </c>
      <c r="K343" s="51">
        <v>16</v>
      </c>
      <c r="L343" s="32">
        <v>37</v>
      </c>
      <c r="M343" s="32">
        <v>49</v>
      </c>
      <c r="N343" s="5" t="s">
        <v>2903</v>
      </c>
      <c r="O343" s="33">
        <v>360</v>
      </c>
      <c r="P343" s="26" t="s">
        <v>2804</v>
      </c>
      <c r="Q343" s="27" t="s">
        <v>2670</v>
      </c>
      <c r="R343" s="28"/>
      <c r="S343" s="28"/>
      <c r="T343" s="28" t="s">
        <v>2671</v>
      </c>
      <c r="U343" s="45">
        <f t="shared" si="14"/>
        <v>1180.8</v>
      </c>
    </row>
    <row r="344" spans="1:23" s="247" customFormat="1" x14ac:dyDescent="0.25">
      <c r="A344" s="228" t="s">
        <v>1419</v>
      </c>
      <c r="B344" s="37" t="s">
        <v>124</v>
      </c>
      <c r="C344" s="8" t="s">
        <v>103</v>
      </c>
      <c r="D344" s="37" t="s">
        <v>885</v>
      </c>
      <c r="E344" s="8" t="s">
        <v>2653</v>
      </c>
      <c r="F344" s="8" t="s">
        <v>2654</v>
      </c>
      <c r="G344" s="38">
        <v>40</v>
      </c>
      <c r="H344" s="38">
        <v>39</v>
      </c>
      <c r="I344" s="38">
        <v>29</v>
      </c>
      <c r="J344" s="37" t="s">
        <v>2902</v>
      </c>
      <c r="K344" s="52">
        <v>17</v>
      </c>
      <c r="L344" s="38">
        <v>56</v>
      </c>
      <c r="M344" s="38">
        <v>48</v>
      </c>
      <c r="N344" s="37" t="s">
        <v>2903</v>
      </c>
      <c r="O344" s="27">
        <v>15</v>
      </c>
      <c r="P344" s="26" t="s">
        <v>279</v>
      </c>
      <c r="Q344" s="27" t="s">
        <v>2655</v>
      </c>
      <c r="R344" s="28" t="s">
        <v>2806</v>
      </c>
      <c r="S344" s="28"/>
      <c r="T344" s="28" t="s">
        <v>2656</v>
      </c>
      <c r="U344" s="45">
        <f t="shared" si="14"/>
        <v>49.199999999999996</v>
      </c>
      <c r="V344" s="8"/>
      <c r="W344" s="8"/>
    </row>
    <row r="345" spans="1:23" s="247" customFormat="1" x14ac:dyDescent="0.25">
      <c r="A345" s="228" t="s">
        <v>1420</v>
      </c>
      <c r="B345" s="37" t="s">
        <v>128</v>
      </c>
      <c r="C345" s="8" t="s">
        <v>103</v>
      </c>
      <c r="D345" s="37" t="s">
        <v>885</v>
      </c>
      <c r="E345" s="8" t="s">
        <v>2938</v>
      </c>
      <c r="F345" s="8" t="s">
        <v>1094</v>
      </c>
      <c r="G345" s="38">
        <v>40</v>
      </c>
      <c r="H345" s="38">
        <v>28</v>
      </c>
      <c r="I345" s="38">
        <v>2</v>
      </c>
      <c r="J345" s="37" t="s">
        <v>2902</v>
      </c>
      <c r="K345" s="52">
        <v>17</v>
      </c>
      <c r="L345" s="38">
        <v>38</v>
      </c>
      <c r="M345" s="38">
        <v>54</v>
      </c>
      <c r="N345" s="37" t="s">
        <v>2903</v>
      </c>
      <c r="O345" s="27" t="s">
        <v>464</v>
      </c>
      <c r="P345" s="26" t="s">
        <v>206</v>
      </c>
      <c r="Q345" s="27" t="s">
        <v>465</v>
      </c>
      <c r="R345" s="28"/>
      <c r="S345" s="28"/>
      <c r="T345" s="28" t="s">
        <v>466</v>
      </c>
      <c r="U345" s="45">
        <f t="shared" si="14"/>
        <v>301.76</v>
      </c>
      <c r="V345" s="8"/>
      <c r="W345" s="8"/>
    </row>
    <row r="346" spans="1:23" x14ac:dyDescent="0.25">
      <c r="A346" s="230" t="s">
        <v>1421</v>
      </c>
      <c r="B346" s="37" t="s">
        <v>128</v>
      </c>
      <c r="C346" s="8" t="s">
        <v>103</v>
      </c>
      <c r="D346" s="43" t="s">
        <v>885</v>
      </c>
      <c r="E346" s="41" t="s">
        <v>2939</v>
      </c>
      <c r="F346" s="41" t="s">
        <v>1095</v>
      </c>
      <c r="G346" s="42">
        <v>40</v>
      </c>
      <c r="H346" s="42">
        <v>46</v>
      </c>
      <c r="I346" s="42">
        <v>30</v>
      </c>
      <c r="J346" s="37" t="s">
        <v>2902</v>
      </c>
      <c r="K346" s="56">
        <v>17</v>
      </c>
      <c r="L346" s="42">
        <v>38</v>
      </c>
      <c r="M346" s="42">
        <v>20</v>
      </c>
      <c r="N346" s="37" t="s">
        <v>2903</v>
      </c>
      <c r="O346" s="40">
        <v>15</v>
      </c>
      <c r="P346" s="26" t="s">
        <v>330</v>
      </c>
      <c r="Q346" s="27" t="s">
        <v>1096</v>
      </c>
      <c r="R346" s="28"/>
      <c r="S346" s="28"/>
      <c r="T346" s="28" t="s">
        <v>1097</v>
      </c>
      <c r="U346" s="45">
        <f t="shared" si="14"/>
        <v>49.199999999999996</v>
      </c>
    </row>
    <row r="347" spans="1:23" x14ac:dyDescent="0.25">
      <c r="A347" s="229" t="s">
        <v>1506</v>
      </c>
      <c r="B347" s="273" t="s">
        <v>124</v>
      </c>
      <c r="C347" s="259" t="s">
        <v>103</v>
      </c>
      <c r="D347" s="273" t="s">
        <v>886</v>
      </c>
      <c r="E347" s="259" t="s">
        <v>1239</v>
      </c>
      <c r="F347" s="268" t="s">
        <v>1240</v>
      </c>
      <c r="G347" s="274">
        <v>41</v>
      </c>
      <c r="H347" s="274">
        <v>32</v>
      </c>
      <c r="I347" s="274">
        <v>20</v>
      </c>
      <c r="J347" s="275" t="s">
        <v>2902</v>
      </c>
      <c r="K347" s="276">
        <v>15</v>
      </c>
      <c r="L347" s="274">
        <v>32</v>
      </c>
      <c r="M347" s="274">
        <v>48</v>
      </c>
      <c r="N347" s="273" t="s">
        <v>2903</v>
      </c>
      <c r="O347" s="277">
        <v>56</v>
      </c>
      <c r="P347" s="260" t="s">
        <v>277</v>
      </c>
      <c r="Q347" s="261" t="s">
        <v>1241</v>
      </c>
      <c r="R347" s="262" t="s">
        <v>2608</v>
      </c>
      <c r="S347" s="263"/>
      <c r="T347" s="263"/>
      <c r="U347" s="264">
        <f t="shared" si="14"/>
        <v>183.67999999999998</v>
      </c>
      <c r="V347" s="259"/>
      <c r="W347" s="259"/>
    </row>
    <row r="348" spans="1:23" x14ac:dyDescent="0.25">
      <c r="A348" s="228" t="s">
        <v>1507</v>
      </c>
      <c r="B348" s="5" t="s">
        <v>124</v>
      </c>
      <c r="C348" s="4" t="s">
        <v>103</v>
      </c>
      <c r="D348" s="5" t="s">
        <v>886</v>
      </c>
      <c r="E348" s="4" t="s">
        <v>2657</v>
      </c>
      <c r="F348" s="4" t="s">
        <v>2658</v>
      </c>
      <c r="G348" s="32">
        <v>41</v>
      </c>
      <c r="H348" s="32">
        <v>25</v>
      </c>
      <c r="I348" s="32">
        <v>56</v>
      </c>
      <c r="J348" s="5" t="s">
        <v>2902</v>
      </c>
      <c r="K348" s="51">
        <v>15</v>
      </c>
      <c r="L348" s="32">
        <v>32</v>
      </c>
      <c r="M348" s="32">
        <v>7</v>
      </c>
      <c r="N348" s="5" t="s">
        <v>2903</v>
      </c>
      <c r="O348" s="33">
        <v>81</v>
      </c>
      <c r="P348" s="26" t="s">
        <v>275</v>
      </c>
      <c r="Q348" s="27" t="s">
        <v>2659</v>
      </c>
      <c r="R348" s="28" t="s">
        <v>2608</v>
      </c>
      <c r="S348" s="28"/>
      <c r="T348" s="28" t="s">
        <v>2660</v>
      </c>
      <c r="U348" s="45">
        <f t="shared" ref="U348:U379" si="15">IF(O348&lt;&gt;"",O348*3.28,"")</f>
        <v>265.68</v>
      </c>
    </row>
    <row r="349" spans="1:23" x14ac:dyDescent="0.25">
      <c r="A349" s="228" t="s">
        <v>1508</v>
      </c>
      <c r="B349" s="37" t="s">
        <v>70</v>
      </c>
      <c r="C349" s="8" t="s">
        <v>103</v>
      </c>
      <c r="D349" s="5" t="s">
        <v>886</v>
      </c>
      <c r="E349" s="4" t="s">
        <v>283</v>
      </c>
      <c r="F349" s="4" t="s">
        <v>284</v>
      </c>
      <c r="G349" s="32">
        <v>41</v>
      </c>
      <c r="H349" s="32">
        <v>54</v>
      </c>
      <c r="I349" s="32">
        <v>40</v>
      </c>
      <c r="J349" s="37" t="s">
        <v>2902</v>
      </c>
      <c r="K349" s="51">
        <v>15</v>
      </c>
      <c r="L349" s="32">
        <v>48</v>
      </c>
      <c r="M349" s="32">
        <v>12</v>
      </c>
      <c r="N349" s="37" t="s">
        <v>2903</v>
      </c>
      <c r="O349" s="33" t="s">
        <v>285</v>
      </c>
      <c r="P349" s="26" t="s">
        <v>258</v>
      </c>
      <c r="Q349" s="27" t="s">
        <v>207</v>
      </c>
      <c r="R349" s="28" t="s">
        <v>286</v>
      </c>
      <c r="S349" s="28"/>
      <c r="T349" s="28" t="s">
        <v>1129</v>
      </c>
      <c r="U349" s="45">
        <f t="shared" si="15"/>
        <v>16.399999999999999</v>
      </c>
    </row>
    <row r="350" spans="1:23" x14ac:dyDescent="0.25">
      <c r="A350" s="228" t="s">
        <v>1509</v>
      </c>
      <c r="B350" s="5" t="s">
        <v>70</v>
      </c>
      <c r="C350" s="8" t="s">
        <v>103</v>
      </c>
      <c r="D350" s="5" t="s">
        <v>886</v>
      </c>
      <c r="E350" s="4" t="s">
        <v>2675</v>
      </c>
      <c r="F350" s="4" t="s">
        <v>2676</v>
      </c>
      <c r="G350" s="32">
        <v>41</v>
      </c>
      <c r="H350" s="32">
        <v>20</v>
      </c>
      <c r="I350" s="32">
        <v>48</v>
      </c>
      <c r="J350" s="5" t="s">
        <v>2902</v>
      </c>
      <c r="K350" s="51">
        <v>15</v>
      </c>
      <c r="L350" s="32">
        <v>31</v>
      </c>
      <c r="M350" s="32">
        <v>39</v>
      </c>
      <c r="N350" s="5" t="s">
        <v>2903</v>
      </c>
      <c r="O350" s="33">
        <v>50</v>
      </c>
      <c r="P350" s="26" t="s">
        <v>258</v>
      </c>
      <c r="Q350" s="27" t="s">
        <v>141</v>
      </c>
      <c r="R350" s="28"/>
      <c r="S350" s="28"/>
      <c r="T350" s="28" t="s">
        <v>2677</v>
      </c>
      <c r="U350" s="45">
        <f t="shared" si="15"/>
        <v>164</v>
      </c>
    </row>
    <row r="351" spans="1:23" x14ac:dyDescent="0.25">
      <c r="A351" s="228" t="s">
        <v>1510</v>
      </c>
      <c r="B351" s="5" t="s">
        <v>70</v>
      </c>
      <c r="C351" s="4" t="s">
        <v>103</v>
      </c>
      <c r="D351" s="5" t="s">
        <v>886</v>
      </c>
      <c r="E351" s="4" t="s">
        <v>2678</v>
      </c>
      <c r="F351" s="4" t="s">
        <v>2679</v>
      </c>
      <c r="G351" s="32">
        <v>41</v>
      </c>
      <c r="H351" s="32">
        <v>54</v>
      </c>
      <c r="I351" s="32">
        <v>10</v>
      </c>
      <c r="J351" s="5" t="s">
        <v>2902</v>
      </c>
      <c r="K351" s="51">
        <v>16</v>
      </c>
      <c r="L351" s="32">
        <v>5</v>
      </c>
      <c r="M351" s="32">
        <v>2</v>
      </c>
      <c r="N351" s="5" t="s">
        <v>2903</v>
      </c>
      <c r="O351" s="33">
        <v>30</v>
      </c>
      <c r="P351" s="26" t="s">
        <v>191</v>
      </c>
      <c r="Q351" s="27" t="s">
        <v>2680</v>
      </c>
      <c r="R351" s="28" t="s">
        <v>2808</v>
      </c>
      <c r="S351" s="28"/>
      <c r="T351" s="28" t="s">
        <v>2681</v>
      </c>
      <c r="U351" s="45">
        <f t="shared" si="15"/>
        <v>98.399999999999991</v>
      </c>
    </row>
    <row r="352" spans="1:23" x14ac:dyDescent="0.25">
      <c r="A352" s="228" t="s">
        <v>1545</v>
      </c>
      <c r="B352" s="5" t="s">
        <v>70</v>
      </c>
      <c r="C352" s="4" t="s">
        <v>103</v>
      </c>
      <c r="D352" s="5" t="s">
        <v>887</v>
      </c>
      <c r="E352" s="4" t="s">
        <v>2991</v>
      </c>
      <c r="F352" s="4" t="s">
        <v>2997</v>
      </c>
      <c r="G352" s="32">
        <v>40</v>
      </c>
      <c r="H352" s="32">
        <v>14</v>
      </c>
      <c r="I352" s="32">
        <v>15</v>
      </c>
      <c r="J352" s="5" t="s">
        <v>2902</v>
      </c>
      <c r="K352" s="51">
        <v>18</v>
      </c>
      <c r="L352" s="32">
        <v>2</v>
      </c>
      <c r="M352" s="32">
        <v>32</v>
      </c>
      <c r="N352" s="5" t="s">
        <v>2903</v>
      </c>
      <c r="O352" s="33" t="s">
        <v>440</v>
      </c>
      <c r="P352" s="26" t="s">
        <v>277</v>
      </c>
      <c r="Q352" s="27" t="s">
        <v>471</v>
      </c>
      <c r="R352" s="28"/>
      <c r="S352" s="28"/>
      <c r="U352" s="45">
        <f t="shared" si="15"/>
        <v>114.8</v>
      </c>
    </row>
    <row r="353" spans="1:23" x14ac:dyDescent="0.25">
      <c r="A353" s="228" t="s">
        <v>1546</v>
      </c>
      <c r="B353" s="37" t="s">
        <v>124</v>
      </c>
      <c r="C353" s="8" t="s">
        <v>103</v>
      </c>
      <c r="D353" s="37" t="s">
        <v>887</v>
      </c>
      <c r="E353" s="8" t="s">
        <v>2990</v>
      </c>
      <c r="F353" s="8" t="s">
        <v>1093</v>
      </c>
      <c r="G353" s="38">
        <v>40</v>
      </c>
      <c r="H353" s="38">
        <v>21</v>
      </c>
      <c r="I353" s="38">
        <v>25</v>
      </c>
      <c r="J353" s="37" t="s">
        <v>2902</v>
      </c>
      <c r="K353" s="52">
        <v>18</v>
      </c>
      <c r="L353" s="38">
        <v>17</v>
      </c>
      <c r="M353" s="38">
        <v>38</v>
      </c>
      <c r="N353" s="37" t="s">
        <v>2903</v>
      </c>
      <c r="O353" s="27" t="s">
        <v>557</v>
      </c>
      <c r="P353" s="26" t="s">
        <v>206</v>
      </c>
      <c r="Q353" s="27" t="s">
        <v>613</v>
      </c>
      <c r="R353" s="28" t="s">
        <v>601</v>
      </c>
      <c r="S353" s="28"/>
      <c r="T353" s="28" t="s">
        <v>614</v>
      </c>
      <c r="U353" s="45">
        <f t="shared" si="15"/>
        <v>59.04</v>
      </c>
    </row>
    <row r="354" spans="1:23" x14ac:dyDescent="0.25">
      <c r="A354" s="229" t="s">
        <v>1547</v>
      </c>
      <c r="B354" s="273" t="s">
        <v>124</v>
      </c>
      <c r="C354" s="259" t="s">
        <v>103</v>
      </c>
      <c r="D354" s="273" t="s">
        <v>887</v>
      </c>
      <c r="E354" s="259" t="s">
        <v>2990</v>
      </c>
      <c r="F354" s="259" t="s">
        <v>1236</v>
      </c>
      <c r="G354" s="274">
        <v>40</v>
      </c>
      <c r="H354" s="274">
        <v>14</v>
      </c>
      <c r="I354" s="274">
        <v>29</v>
      </c>
      <c r="J354" s="275" t="s">
        <v>2902</v>
      </c>
      <c r="K354" s="276">
        <v>18</v>
      </c>
      <c r="L354" s="274">
        <v>7</v>
      </c>
      <c r="M354" s="274">
        <v>59</v>
      </c>
      <c r="N354" s="273" t="s">
        <v>2903</v>
      </c>
      <c r="O354" s="277">
        <v>48</v>
      </c>
      <c r="P354" s="260" t="s">
        <v>258</v>
      </c>
      <c r="Q354" s="261" t="s">
        <v>1237</v>
      </c>
      <c r="R354" s="262" t="s">
        <v>1238</v>
      </c>
      <c r="S354" s="263"/>
      <c r="T354" s="263"/>
      <c r="U354" s="264">
        <f t="shared" si="15"/>
        <v>157.44</v>
      </c>
      <c r="V354" s="259"/>
      <c r="W354" s="259"/>
    </row>
    <row r="355" spans="1:23" x14ac:dyDescent="0.25">
      <c r="A355" s="228" t="s">
        <v>1548</v>
      </c>
      <c r="B355" s="37" t="s">
        <v>128</v>
      </c>
      <c r="C355" s="8" t="s">
        <v>103</v>
      </c>
      <c r="D355" s="37" t="s">
        <v>887</v>
      </c>
      <c r="E355" s="8" t="s">
        <v>1099</v>
      </c>
      <c r="F355" s="8" t="s">
        <v>1098</v>
      </c>
      <c r="G355" s="38">
        <v>40</v>
      </c>
      <c r="H355" s="38">
        <v>21</v>
      </c>
      <c r="I355" s="38">
        <v>20</v>
      </c>
      <c r="J355" s="37" t="s">
        <v>2902</v>
      </c>
      <c r="K355" s="52">
        <v>18</v>
      </c>
      <c r="L355" s="38">
        <v>14</v>
      </c>
      <c r="M355" s="38">
        <v>6</v>
      </c>
      <c r="N355" s="37" t="s">
        <v>2903</v>
      </c>
      <c r="O355" s="27" t="s">
        <v>481</v>
      </c>
      <c r="P355" s="26" t="s">
        <v>232</v>
      </c>
      <c r="Q355" s="27" t="s">
        <v>482</v>
      </c>
      <c r="R355" s="28" t="s">
        <v>171</v>
      </c>
      <c r="S355" s="28"/>
      <c r="T355" s="28" t="s">
        <v>1126</v>
      </c>
      <c r="U355" s="45">
        <f t="shared" si="15"/>
        <v>85.28</v>
      </c>
    </row>
    <row r="356" spans="1:23" x14ac:dyDescent="0.25">
      <c r="A356" s="228" t="s">
        <v>1549</v>
      </c>
      <c r="B356" s="37" t="s">
        <v>70</v>
      </c>
      <c r="C356" s="8" t="s">
        <v>103</v>
      </c>
      <c r="D356" s="37" t="s">
        <v>887</v>
      </c>
      <c r="E356" s="8" t="s">
        <v>594</v>
      </c>
      <c r="F356" s="8" t="s">
        <v>2021</v>
      </c>
      <c r="G356" s="38">
        <v>40</v>
      </c>
      <c r="H356" s="38">
        <v>6</v>
      </c>
      <c r="I356" s="38">
        <v>0</v>
      </c>
      <c r="J356" s="37" t="s">
        <v>2902</v>
      </c>
      <c r="K356" s="52">
        <v>18</v>
      </c>
      <c r="L356" s="38">
        <v>14</v>
      </c>
      <c r="M356" s="38">
        <v>37</v>
      </c>
      <c r="N356" s="37" t="s">
        <v>2903</v>
      </c>
      <c r="O356" s="27" t="s">
        <v>270</v>
      </c>
      <c r="P356" s="26" t="s">
        <v>206</v>
      </c>
      <c r="Q356" s="27" t="s">
        <v>226</v>
      </c>
      <c r="R356" s="28" t="s">
        <v>2801</v>
      </c>
      <c r="S356" s="28"/>
      <c r="T356" s="28" t="s">
        <v>1130</v>
      </c>
      <c r="U356" s="45">
        <f t="shared" si="15"/>
        <v>262.39999999999998</v>
      </c>
    </row>
    <row r="357" spans="1:23" x14ac:dyDescent="0.25">
      <c r="A357" s="228" t="s">
        <v>1550</v>
      </c>
      <c r="B357" s="5" t="s">
        <v>128</v>
      </c>
      <c r="C357" s="4" t="s">
        <v>103</v>
      </c>
      <c r="D357" s="5" t="s">
        <v>887</v>
      </c>
      <c r="E357" s="4" t="s">
        <v>2672</v>
      </c>
      <c r="F357" s="4" t="s">
        <v>2673</v>
      </c>
      <c r="G357" s="32">
        <v>40</v>
      </c>
      <c r="H357" s="32">
        <v>3</v>
      </c>
      <c r="I357" s="32">
        <v>29</v>
      </c>
      <c r="J357" s="5" t="s">
        <v>2902</v>
      </c>
      <c r="K357" s="51">
        <v>18</v>
      </c>
      <c r="L357" s="32">
        <v>12</v>
      </c>
      <c r="M357" s="32">
        <v>39</v>
      </c>
      <c r="N357" s="5" t="s">
        <v>2903</v>
      </c>
      <c r="O357" s="33">
        <v>90</v>
      </c>
      <c r="P357" s="26" t="s">
        <v>258</v>
      </c>
      <c r="Q357" s="27" t="s">
        <v>298</v>
      </c>
      <c r="R357" s="28" t="s">
        <v>2807</v>
      </c>
      <c r="S357" s="28"/>
      <c r="T357" s="28" t="s">
        <v>2674</v>
      </c>
      <c r="U357" s="45">
        <f t="shared" si="15"/>
        <v>295.2</v>
      </c>
    </row>
    <row r="358" spans="1:23" x14ac:dyDescent="0.25">
      <c r="A358" s="231" t="s">
        <v>1551</v>
      </c>
      <c r="B358" s="37" t="s">
        <v>70</v>
      </c>
      <c r="C358" s="8" t="s">
        <v>103</v>
      </c>
      <c r="D358" s="37" t="s">
        <v>887</v>
      </c>
      <c r="E358" s="8" t="s">
        <v>494</v>
      </c>
      <c r="F358" s="4" t="s">
        <v>2022</v>
      </c>
      <c r="G358" s="38">
        <v>39</v>
      </c>
      <c r="H358" s="38">
        <v>53</v>
      </c>
      <c r="I358" s="38">
        <v>48</v>
      </c>
      <c r="J358" s="37" t="s">
        <v>2902</v>
      </c>
      <c r="K358" s="52">
        <v>18</v>
      </c>
      <c r="L358" s="38">
        <v>11</v>
      </c>
      <c r="M358" s="38">
        <v>30</v>
      </c>
      <c r="N358" s="37" t="s">
        <v>2903</v>
      </c>
      <c r="O358" s="27" t="s">
        <v>495</v>
      </c>
      <c r="P358" s="26" t="s">
        <v>258</v>
      </c>
      <c r="Q358" s="27" t="s">
        <v>496</v>
      </c>
      <c r="R358" s="28" t="s">
        <v>497</v>
      </c>
      <c r="S358" s="28"/>
      <c r="T358" s="28" t="s">
        <v>1131</v>
      </c>
      <c r="U358" s="45">
        <f t="shared" si="15"/>
        <v>229.6</v>
      </c>
    </row>
    <row r="359" spans="1:23" x14ac:dyDescent="0.25">
      <c r="A359" s="228" t="s">
        <v>1788</v>
      </c>
      <c r="B359" s="37" t="s">
        <v>70</v>
      </c>
      <c r="C359" s="8" t="s">
        <v>103</v>
      </c>
      <c r="D359" s="37" t="s">
        <v>888</v>
      </c>
      <c r="E359" s="8" t="s">
        <v>694</v>
      </c>
      <c r="F359" s="8" t="s">
        <v>2023</v>
      </c>
      <c r="G359" s="38">
        <v>40</v>
      </c>
      <c r="H359" s="38">
        <v>29</v>
      </c>
      <c r="I359" s="38">
        <v>0</v>
      </c>
      <c r="J359" s="37" t="s">
        <v>2902</v>
      </c>
      <c r="K359" s="52">
        <v>16</v>
      </c>
      <c r="L359" s="38">
        <v>54</v>
      </c>
      <c r="M359" s="38">
        <v>10</v>
      </c>
      <c r="N359" s="37" t="s">
        <v>2903</v>
      </c>
      <c r="O359" s="27" t="s">
        <v>355</v>
      </c>
      <c r="P359" s="26" t="s">
        <v>279</v>
      </c>
      <c r="Q359" s="27" t="s">
        <v>141</v>
      </c>
      <c r="R359" s="28" t="s">
        <v>171</v>
      </c>
      <c r="S359" s="28"/>
      <c r="T359" s="28" t="s">
        <v>695</v>
      </c>
      <c r="U359" s="45">
        <f t="shared" si="15"/>
        <v>32.799999999999997</v>
      </c>
    </row>
    <row r="360" spans="1:23" x14ac:dyDescent="0.25">
      <c r="A360" s="228" t="s">
        <v>1789</v>
      </c>
      <c r="B360" s="37" t="s">
        <v>124</v>
      </c>
      <c r="C360" s="8" t="s">
        <v>103</v>
      </c>
      <c r="D360" s="37" t="s">
        <v>888</v>
      </c>
      <c r="E360" s="8" t="s">
        <v>2661</v>
      </c>
      <c r="F360" s="8" t="s">
        <v>2662</v>
      </c>
      <c r="G360" s="38">
        <v>40</v>
      </c>
      <c r="H360" s="38">
        <v>31</v>
      </c>
      <c r="I360" s="38">
        <v>0</v>
      </c>
      <c r="J360" s="37" t="s">
        <v>2902</v>
      </c>
      <c r="K360" s="52">
        <v>17</v>
      </c>
      <c r="L360" s="38">
        <v>23</v>
      </c>
      <c r="M360" s="38">
        <v>59</v>
      </c>
      <c r="N360" s="37" t="s">
        <v>2903</v>
      </c>
      <c r="O360" s="27">
        <v>65</v>
      </c>
      <c r="P360" s="26" t="s">
        <v>214</v>
      </c>
      <c r="Q360" s="27" t="s">
        <v>2663</v>
      </c>
      <c r="R360" s="28" t="s">
        <v>2805</v>
      </c>
      <c r="S360" s="28"/>
      <c r="T360" s="28" t="s">
        <v>2664</v>
      </c>
      <c r="U360" s="45">
        <f t="shared" si="15"/>
        <v>213.2</v>
      </c>
    </row>
    <row r="361" spans="1:23" s="247" customFormat="1" x14ac:dyDescent="0.25">
      <c r="A361" s="228" t="s">
        <v>1790</v>
      </c>
      <c r="B361" s="5" t="s">
        <v>128</v>
      </c>
      <c r="C361" s="4" t="s">
        <v>103</v>
      </c>
      <c r="D361" s="5" t="s">
        <v>888</v>
      </c>
      <c r="E361" s="4" t="s">
        <v>20</v>
      </c>
      <c r="F361" s="4" t="s">
        <v>1101</v>
      </c>
      <c r="G361" s="32">
        <v>40</v>
      </c>
      <c r="H361" s="32">
        <v>26</v>
      </c>
      <c r="I361" s="32">
        <v>52</v>
      </c>
      <c r="J361" s="5" t="s">
        <v>2902</v>
      </c>
      <c r="K361" s="51">
        <v>17</v>
      </c>
      <c r="L361" s="32">
        <v>37</v>
      </c>
      <c r="M361" s="32">
        <v>23</v>
      </c>
      <c r="N361" s="5" t="s">
        <v>2903</v>
      </c>
      <c r="O361" s="33" t="s">
        <v>408</v>
      </c>
      <c r="P361" s="26" t="s">
        <v>206</v>
      </c>
      <c r="Q361" s="27" t="s">
        <v>254</v>
      </c>
      <c r="R361" s="28"/>
      <c r="S361" s="28"/>
      <c r="T361" s="28" t="s">
        <v>2633</v>
      </c>
      <c r="U361" s="45">
        <f t="shared" si="15"/>
        <v>255.83999999999997</v>
      </c>
      <c r="V361" s="8"/>
      <c r="W361" s="8"/>
    </row>
    <row r="362" spans="1:23" s="247" customFormat="1" x14ac:dyDescent="0.25">
      <c r="A362" s="228" t="s">
        <v>1791</v>
      </c>
      <c r="B362" s="37" t="s">
        <v>128</v>
      </c>
      <c r="C362" s="8" t="s">
        <v>103</v>
      </c>
      <c r="D362" s="37" t="s">
        <v>888</v>
      </c>
      <c r="E362" s="8" t="s">
        <v>21</v>
      </c>
      <c r="F362" s="8" t="s">
        <v>1100</v>
      </c>
      <c r="G362" s="38">
        <v>40</v>
      </c>
      <c r="H362" s="38">
        <v>22</v>
      </c>
      <c r="I362" s="38">
        <v>39</v>
      </c>
      <c r="J362" s="37" t="s">
        <v>2902</v>
      </c>
      <c r="K362" s="52">
        <v>17</v>
      </c>
      <c r="L362" s="38">
        <v>23</v>
      </c>
      <c r="M362" s="38">
        <v>8</v>
      </c>
      <c r="N362" s="37" t="s">
        <v>2903</v>
      </c>
      <c r="O362" s="27" t="s">
        <v>557</v>
      </c>
      <c r="P362" s="148" t="s">
        <v>206</v>
      </c>
      <c r="Q362" s="33" t="s">
        <v>293</v>
      </c>
      <c r="R362" s="149" t="s">
        <v>171</v>
      </c>
      <c r="S362" s="149"/>
      <c r="T362" s="149" t="s">
        <v>2198</v>
      </c>
      <c r="U362" s="45">
        <f t="shared" si="15"/>
        <v>59.04</v>
      </c>
      <c r="V362" s="8"/>
      <c r="W362" s="8"/>
    </row>
    <row r="363" spans="1:23" x14ac:dyDescent="0.25">
      <c r="A363" s="228" t="s">
        <v>1436</v>
      </c>
      <c r="B363" s="37" t="s">
        <v>124</v>
      </c>
      <c r="C363" s="8" t="s">
        <v>105</v>
      </c>
      <c r="D363" s="5" t="s">
        <v>889</v>
      </c>
      <c r="E363" s="4" t="s">
        <v>2682</v>
      </c>
      <c r="F363" s="4" t="s">
        <v>2683</v>
      </c>
      <c r="G363" s="32">
        <v>39</v>
      </c>
      <c r="H363" s="32">
        <v>14</v>
      </c>
      <c r="I363" s="32">
        <v>47</v>
      </c>
      <c r="J363" s="37" t="s">
        <v>2902</v>
      </c>
      <c r="K363" s="51">
        <v>9</v>
      </c>
      <c r="L363" s="32">
        <v>3</v>
      </c>
      <c r="M363" s="32">
        <v>27</v>
      </c>
      <c r="N363" s="37" t="s">
        <v>2903</v>
      </c>
      <c r="O363" s="33">
        <v>4</v>
      </c>
      <c r="P363" s="26" t="s">
        <v>258</v>
      </c>
      <c r="Q363" s="27" t="s">
        <v>2684</v>
      </c>
      <c r="R363" s="28" t="s">
        <v>2797</v>
      </c>
      <c r="S363" s="28"/>
      <c r="T363" s="28" t="s">
        <v>2756</v>
      </c>
      <c r="U363" s="45">
        <f t="shared" si="15"/>
        <v>13.12</v>
      </c>
    </row>
    <row r="364" spans="1:23" x14ac:dyDescent="0.25">
      <c r="A364" s="228" t="s">
        <v>1437</v>
      </c>
      <c r="B364" s="37" t="s">
        <v>128</v>
      </c>
      <c r="C364" s="8" t="s">
        <v>105</v>
      </c>
      <c r="D364" s="37" t="s">
        <v>889</v>
      </c>
      <c r="E364" s="8" t="s">
        <v>2166</v>
      </c>
      <c r="F364" s="224" t="s">
        <v>1102</v>
      </c>
      <c r="G364" s="38">
        <v>39</v>
      </c>
      <c r="H364" s="38">
        <v>16</v>
      </c>
      <c r="I364" s="38">
        <v>3</v>
      </c>
      <c r="J364" s="37" t="s">
        <v>2902</v>
      </c>
      <c r="K364" s="52">
        <v>9</v>
      </c>
      <c r="L364" s="38">
        <v>32</v>
      </c>
      <c r="M364" s="38">
        <v>29</v>
      </c>
      <c r="N364" s="37" t="s">
        <v>2903</v>
      </c>
      <c r="O364" s="27">
        <v>65</v>
      </c>
      <c r="P364" s="26" t="s">
        <v>187</v>
      </c>
      <c r="Q364" s="27" t="s">
        <v>457</v>
      </c>
      <c r="R364" s="28" t="s">
        <v>2796</v>
      </c>
      <c r="S364" s="28"/>
      <c r="T364" s="28" t="s">
        <v>1132</v>
      </c>
      <c r="U364" s="45">
        <f t="shared" si="15"/>
        <v>213.2</v>
      </c>
    </row>
    <row r="365" spans="1:23" x14ac:dyDescent="0.25">
      <c r="A365" s="229" t="s">
        <v>1438</v>
      </c>
      <c r="B365" s="273" t="s">
        <v>124</v>
      </c>
      <c r="C365" s="259" t="s">
        <v>105</v>
      </c>
      <c r="D365" s="273" t="s">
        <v>889</v>
      </c>
      <c r="E365" s="49" t="s">
        <v>1297</v>
      </c>
      <c r="F365" s="49" t="s">
        <v>1233</v>
      </c>
      <c r="G365" s="274">
        <v>39</v>
      </c>
      <c r="H365" s="274" t="s">
        <v>477</v>
      </c>
      <c r="I365" s="274">
        <v>18</v>
      </c>
      <c r="J365" s="275" t="s">
        <v>2902</v>
      </c>
      <c r="K365" s="276" t="s">
        <v>1234</v>
      </c>
      <c r="L365" s="274" t="s">
        <v>363</v>
      </c>
      <c r="M365" s="274">
        <v>18</v>
      </c>
      <c r="N365" s="273" t="s">
        <v>2903</v>
      </c>
      <c r="O365" s="277">
        <v>30</v>
      </c>
      <c r="P365" s="260" t="s">
        <v>214</v>
      </c>
      <c r="Q365" s="261" t="s">
        <v>2684</v>
      </c>
      <c r="R365" s="262" t="s">
        <v>2797</v>
      </c>
      <c r="S365" s="263"/>
      <c r="T365" s="263" t="s">
        <v>1235</v>
      </c>
      <c r="U365" s="264">
        <f t="shared" si="15"/>
        <v>98.399999999999991</v>
      </c>
      <c r="V365" s="259"/>
      <c r="W365" s="278"/>
    </row>
    <row r="366" spans="1:23" x14ac:dyDescent="0.25">
      <c r="A366" s="228" t="s">
        <v>1439</v>
      </c>
      <c r="B366" s="37" t="s">
        <v>128</v>
      </c>
      <c r="C366" s="8" t="s">
        <v>105</v>
      </c>
      <c r="D366" s="37" t="s">
        <v>889</v>
      </c>
      <c r="E366" s="8" t="s">
        <v>2940</v>
      </c>
      <c r="F366" s="8" t="s">
        <v>2178</v>
      </c>
      <c r="G366" s="38">
        <v>39</v>
      </c>
      <c r="H366" s="38">
        <v>21</v>
      </c>
      <c r="I366" s="38">
        <v>39</v>
      </c>
      <c r="J366" s="37" t="s">
        <v>2902</v>
      </c>
      <c r="K366" s="52">
        <v>8</v>
      </c>
      <c r="L366" s="38">
        <v>52</v>
      </c>
      <c r="M366" s="38">
        <v>3</v>
      </c>
      <c r="N366" s="37" t="s">
        <v>2903</v>
      </c>
      <c r="O366" s="27" t="s">
        <v>547</v>
      </c>
      <c r="P366" s="26" t="s">
        <v>456</v>
      </c>
      <c r="Q366" s="27" t="s">
        <v>548</v>
      </c>
      <c r="R366" s="28"/>
      <c r="S366" s="28"/>
      <c r="T366" s="28" t="s">
        <v>549</v>
      </c>
      <c r="U366" s="45">
        <f t="shared" si="15"/>
        <v>91.839999999999989</v>
      </c>
    </row>
    <row r="367" spans="1:23" x14ac:dyDescent="0.25">
      <c r="A367" s="231" t="s">
        <v>1440</v>
      </c>
      <c r="B367" s="37" t="s">
        <v>70</v>
      </c>
      <c r="C367" s="8" t="s">
        <v>105</v>
      </c>
      <c r="D367" s="37" t="s">
        <v>889</v>
      </c>
      <c r="E367" s="8" t="s">
        <v>2941</v>
      </c>
      <c r="F367" s="4" t="s">
        <v>2942</v>
      </c>
      <c r="G367" s="38">
        <v>39</v>
      </c>
      <c r="H367" s="38">
        <v>37</v>
      </c>
      <c r="I367" s="38">
        <v>33</v>
      </c>
      <c r="J367" s="37" t="s">
        <v>2902</v>
      </c>
      <c r="K367" s="52">
        <v>9</v>
      </c>
      <c r="L367" s="38">
        <v>6</v>
      </c>
      <c r="M367" s="38">
        <v>12</v>
      </c>
      <c r="N367" s="37" t="s">
        <v>2903</v>
      </c>
      <c r="O367" s="27" t="s">
        <v>410</v>
      </c>
      <c r="P367" s="26" t="s">
        <v>206</v>
      </c>
      <c r="Q367" s="27" t="s">
        <v>411</v>
      </c>
      <c r="R367" s="28"/>
      <c r="S367" s="28"/>
      <c r="T367" s="28" t="s">
        <v>2202</v>
      </c>
      <c r="U367" s="45">
        <f t="shared" si="15"/>
        <v>934.8</v>
      </c>
    </row>
    <row r="368" spans="1:23" x14ac:dyDescent="0.25">
      <c r="A368" s="231" t="s">
        <v>1441</v>
      </c>
      <c r="B368" s="37" t="s">
        <v>70</v>
      </c>
      <c r="C368" s="8" t="s">
        <v>105</v>
      </c>
      <c r="D368" s="37" t="s">
        <v>889</v>
      </c>
      <c r="E368" s="8" t="s">
        <v>2774</v>
      </c>
      <c r="F368" s="8" t="s">
        <v>2775</v>
      </c>
      <c r="G368" s="38">
        <v>39</v>
      </c>
      <c r="H368" s="38">
        <v>16</v>
      </c>
      <c r="I368" s="38">
        <v>38</v>
      </c>
      <c r="J368" s="37" t="s">
        <v>2902</v>
      </c>
      <c r="K368" s="52">
        <v>9</v>
      </c>
      <c r="L368" s="38">
        <v>15</v>
      </c>
      <c r="M368" s="38">
        <v>25</v>
      </c>
      <c r="N368" s="37" t="s">
        <v>2903</v>
      </c>
      <c r="O368" s="27">
        <v>85</v>
      </c>
      <c r="P368" s="26" t="s">
        <v>238</v>
      </c>
      <c r="Q368" s="27" t="s">
        <v>2776</v>
      </c>
      <c r="R368" s="28"/>
      <c r="S368" s="28"/>
      <c r="T368" s="28" t="s">
        <v>2777</v>
      </c>
      <c r="U368" s="45">
        <f t="shared" si="15"/>
        <v>278.8</v>
      </c>
    </row>
    <row r="369" spans="1:23" x14ac:dyDescent="0.25">
      <c r="A369" s="231" t="s">
        <v>1442</v>
      </c>
      <c r="B369" s="37" t="s">
        <v>70</v>
      </c>
      <c r="C369" s="8" t="s">
        <v>105</v>
      </c>
      <c r="D369" s="37" t="s">
        <v>889</v>
      </c>
      <c r="E369" s="8" t="s">
        <v>2782</v>
      </c>
      <c r="F369" s="4" t="s">
        <v>2782</v>
      </c>
      <c r="G369" s="38">
        <v>39</v>
      </c>
      <c r="H369" s="38">
        <v>35</v>
      </c>
      <c r="I369" s="38">
        <v>0</v>
      </c>
      <c r="J369" s="37" t="s">
        <v>2902</v>
      </c>
      <c r="K369" s="52">
        <v>8</v>
      </c>
      <c r="L369" s="38">
        <v>45</v>
      </c>
      <c r="M369" s="38">
        <v>20</v>
      </c>
      <c r="N369" s="37" t="s">
        <v>2903</v>
      </c>
      <c r="O369" s="27">
        <v>90</v>
      </c>
      <c r="P369" s="26" t="s">
        <v>258</v>
      </c>
      <c r="Q369" s="27" t="s">
        <v>2783</v>
      </c>
      <c r="R369" s="28"/>
      <c r="S369" s="28"/>
      <c r="T369" s="28" t="s">
        <v>2788</v>
      </c>
      <c r="U369" s="45">
        <f t="shared" si="15"/>
        <v>295.2</v>
      </c>
    </row>
    <row r="370" spans="1:23" x14ac:dyDescent="0.25">
      <c r="A370" s="231" t="s">
        <v>1443</v>
      </c>
      <c r="B370" s="37" t="s">
        <v>70</v>
      </c>
      <c r="C370" s="8" t="s">
        <v>105</v>
      </c>
      <c r="D370" s="37" t="s">
        <v>889</v>
      </c>
      <c r="E370" s="8" t="s">
        <v>2778</v>
      </c>
      <c r="F370" s="8" t="s">
        <v>2779</v>
      </c>
      <c r="G370" s="38">
        <v>38</v>
      </c>
      <c r="H370" s="38">
        <v>50</v>
      </c>
      <c r="I370" s="38">
        <v>0</v>
      </c>
      <c r="J370" s="37" t="s">
        <v>2902</v>
      </c>
      <c r="K370" s="52">
        <v>8</v>
      </c>
      <c r="L370" s="38">
        <v>58</v>
      </c>
      <c r="M370" s="38">
        <v>0</v>
      </c>
      <c r="N370" s="37" t="s">
        <v>2903</v>
      </c>
      <c r="O370" s="27">
        <v>30</v>
      </c>
      <c r="P370" s="26" t="s">
        <v>247</v>
      </c>
      <c r="Q370" s="27" t="s">
        <v>2780</v>
      </c>
      <c r="R370" s="28"/>
      <c r="S370" s="28"/>
      <c r="T370" s="28" t="s">
        <v>2781</v>
      </c>
      <c r="U370" s="45">
        <f t="shared" si="15"/>
        <v>98.399999999999991</v>
      </c>
    </row>
    <row r="371" spans="1:23" x14ac:dyDescent="0.25">
      <c r="A371" s="231" t="s">
        <v>1445</v>
      </c>
      <c r="B371" s="5" t="s">
        <v>128</v>
      </c>
      <c r="C371" s="4" t="s">
        <v>105</v>
      </c>
      <c r="D371" s="5" t="s">
        <v>889</v>
      </c>
      <c r="E371" s="4" t="s">
        <v>2943</v>
      </c>
      <c r="F371" s="4" t="s">
        <v>2025</v>
      </c>
      <c r="G371" s="32">
        <v>39</v>
      </c>
      <c r="H371" s="32">
        <v>24</v>
      </c>
      <c r="I371" s="32">
        <v>58</v>
      </c>
      <c r="J371" s="5" t="s">
        <v>2902</v>
      </c>
      <c r="K371" s="51">
        <v>9</v>
      </c>
      <c r="L371" s="32">
        <v>10</v>
      </c>
      <c r="M371" s="32">
        <v>35</v>
      </c>
      <c r="N371" s="5" t="s">
        <v>2903</v>
      </c>
      <c r="O371" s="33" t="s">
        <v>329</v>
      </c>
      <c r="P371" s="26" t="s">
        <v>251</v>
      </c>
      <c r="Q371" s="27" t="s">
        <v>2161</v>
      </c>
      <c r="R371" s="28"/>
      <c r="S371" s="28"/>
      <c r="T371" s="28" t="s">
        <v>2219</v>
      </c>
      <c r="U371" s="45">
        <f t="shared" si="15"/>
        <v>491.99999999999994</v>
      </c>
    </row>
    <row r="372" spans="1:23" x14ac:dyDescent="0.25">
      <c r="A372" s="231" t="s">
        <v>1444</v>
      </c>
      <c r="B372" s="5" t="s">
        <v>128</v>
      </c>
      <c r="C372" s="4" t="s">
        <v>105</v>
      </c>
      <c r="D372" s="5" t="s">
        <v>889</v>
      </c>
      <c r="E372" s="4" t="s">
        <v>2943</v>
      </c>
      <c r="F372" s="4" t="s">
        <v>2944</v>
      </c>
      <c r="G372" s="32">
        <v>39</v>
      </c>
      <c r="H372" s="32">
        <v>24</v>
      </c>
      <c r="I372" s="32">
        <v>4</v>
      </c>
      <c r="J372" s="5" t="s">
        <v>2902</v>
      </c>
      <c r="K372" s="51">
        <v>9</v>
      </c>
      <c r="L372" s="32">
        <v>8</v>
      </c>
      <c r="M372" s="32">
        <v>20</v>
      </c>
      <c r="N372" s="5" t="s">
        <v>2903</v>
      </c>
      <c r="O372" s="33" t="s">
        <v>250</v>
      </c>
      <c r="P372" s="26" t="s">
        <v>251</v>
      </c>
      <c r="Q372" s="27" t="s">
        <v>226</v>
      </c>
      <c r="R372" s="28" t="s">
        <v>252</v>
      </c>
      <c r="S372" s="28"/>
      <c r="T372" s="28" t="s">
        <v>2770</v>
      </c>
      <c r="U372" s="45">
        <f t="shared" si="15"/>
        <v>328</v>
      </c>
    </row>
    <row r="373" spans="1:23" x14ac:dyDescent="0.25">
      <c r="A373" s="231" t="s">
        <v>1446</v>
      </c>
      <c r="B373" s="37" t="s">
        <v>70</v>
      </c>
      <c r="C373" s="8" t="s">
        <v>105</v>
      </c>
      <c r="D373" s="37" t="s">
        <v>889</v>
      </c>
      <c r="E373" s="8" t="s">
        <v>2945</v>
      </c>
      <c r="F373" s="8" t="s">
        <v>2024</v>
      </c>
      <c r="G373" s="38">
        <v>39</v>
      </c>
      <c r="H373" s="38">
        <v>19</v>
      </c>
      <c r="I373" s="38">
        <v>44</v>
      </c>
      <c r="J373" s="37" t="s">
        <v>2902</v>
      </c>
      <c r="K373" s="52">
        <v>9</v>
      </c>
      <c r="L373" s="38">
        <v>8</v>
      </c>
      <c r="M373" s="38">
        <v>47</v>
      </c>
      <c r="N373" s="37" t="s">
        <v>2903</v>
      </c>
      <c r="O373" s="27" t="s">
        <v>446</v>
      </c>
      <c r="P373" s="26" t="s">
        <v>258</v>
      </c>
      <c r="Q373" s="27" t="s">
        <v>447</v>
      </c>
      <c r="R373" s="28"/>
      <c r="S373" s="28"/>
      <c r="T373" s="28" t="s">
        <v>2203</v>
      </c>
      <c r="U373" s="45">
        <f t="shared" si="15"/>
        <v>475.59999999999997</v>
      </c>
    </row>
    <row r="374" spans="1:23" s="247" customFormat="1" x14ac:dyDescent="0.25">
      <c r="A374" s="231" t="s">
        <v>1447</v>
      </c>
      <c r="B374" s="37" t="s">
        <v>128</v>
      </c>
      <c r="C374" s="8" t="s">
        <v>105</v>
      </c>
      <c r="D374" s="37" t="s">
        <v>889</v>
      </c>
      <c r="E374" s="8" t="s">
        <v>2946</v>
      </c>
      <c r="F374" s="8" t="s">
        <v>2364</v>
      </c>
      <c r="G374" s="38">
        <v>39</v>
      </c>
      <c r="H374" s="38">
        <v>16</v>
      </c>
      <c r="I374" s="38">
        <v>16</v>
      </c>
      <c r="J374" s="37" t="s">
        <v>2902</v>
      </c>
      <c r="K374" s="52">
        <v>8</v>
      </c>
      <c r="L374" s="38">
        <v>46</v>
      </c>
      <c r="M374" s="38">
        <v>10</v>
      </c>
      <c r="N374" s="37" t="s">
        <v>2903</v>
      </c>
      <c r="O374" s="27" t="s">
        <v>253</v>
      </c>
      <c r="P374" s="26" t="s">
        <v>191</v>
      </c>
      <c r="Q374" s="27" t="s">
        <v>254</v>
      </c>
      <c r="R374" s="28" t="s">
        <v>171</v>
      </c>
      <c r="S374" s="28"/>
      <c r="T374" s="28" t="s">
        <v>1133</v>
      </c>
      <c r="U374" s="45">
        <f t="shared" si="15"/>
        <v>213.2</v>
      </c>
      <c r="V374" s="8"/>
      <c r="W374" s="8"/>
    </row>
    <row r="375" spans="1:23" x14ac:dyDescent="0.25">
      <c r="A375" s="228" t="s">
        <v>1631</v>
      </c>
      <c r="B375" s="37" t="s">
        <v>124</v>
      </c>
      <c r="C375" s="8" t="s">
        <v>105</v>
      </c>
      <c r="D375" s="37" t="s">
        <v>890</v>
      </c>
      <c r="E375" s="8" t="s">
        <v>2757</v>
      </c>
      <c r="F375" s="8" t="s">
        <v>2758</v>
      </c>
      <c r="G375" s="38">
        <v>39</v>
      </c>
      <c r="H375" s="38">
        <v>55</v>
      </c>
      <c r="I375" s="38">
        <v>5</v>
      </c>
      <c r="J375" s="37" t="s">
        <v>2902</v>
      </c>
      <c r="K375" s="52">
        <v>9</v>
      </c>
      <c r="L375" s="38">
        <v>41</v>
      </c>
      <c r="M375" s="38">
        <v>0</v>
      </c>
      <c r="N375" s="37" t="s">
        <v>2903</v>
      </c>
      <c r="O375" s="27">
        <v>7</v>
      </c>
      <c r="P375" s="26" t="s">
        <v>342</v>
      </c>
      <c r="Q375" s="27" t="s">
        <v>2888</v>
      </c>
      <c r="R375" s="28" t="s">
        <v>601</v>
      </c>
      <c r="S375" s="28"/>
      <c r="T375" s="28" t="s">
        <v>2759</v>
      </c>
      <c r="U375" s="45">
        <f t="shared" si="15"/>
        <v>22.959999999999997</v>
      </c>
    </row>
    <row r="376" spans="1:23" x14ac:dyDescent="0.25">
      <c r="A376" s="228" t="s">
        <v>1632</v>
      </c>
      <c r="B376" s="37" t="s">
        <v>124</v>
      </c>
      <c r="C376" s="4" t="s">
        <v>105</v>
      </c>
      <c r="D376" s="37" t="s">
        <v>891</v>
      </c>
      <c r="E376" s="8" t="s">
        <v>2760</v>
      </c>
      <c r="F376" s="8" t="s">
        <v>2761</v>
      </c>
      <c r="G376" s="38">
        <v>39</v>
      </c>
      <c r="H376" s="38">
        <v>53</v>
      </c>
      <c r="I376" s="38">
        <v>52</v>
      </c>
      <c r="J376" s="37" t="s">
        <v>2902</v>
      </c>
      <c r="K376" s="52">
        <v>8</v>
      </c>
      <c r="L376" s="38">
        <v>38</v>
      </c>
      <c r="M376" s="38">
        <v>36</v>
      </c>
      <c r="N376" s="37" t="s">
        <v>2903</v>
      </c>
      <c r="O376" s="27">
        <v>10</v>
      </c>
      <c r="P376" s="26" t="s">
        <v>258</v>
      </c>
      <c r="Q376" s="27" t="s">
        <v>2762</v>
      </c>
      <c r="R376" s="28" t="s">
        <v>485</v>
      </c>
      <c r="S376" s="28"/>
      <c r="T376" s="28" t="s">
        <v>2763</v>
      </c>
      <c r="U376" s="45">
        <f t="shared" si="15"/>
        <v>32.799999999999997</v>
      </c>
    </row>
    <row r="377" spans="1:23" x14ac:dyDescent="0.25">
      <c r="A377" s="228" t="s">
        <v>1633</v>
      </c>
      <c r="B377" s="37" t="s">
        <v>128</v>
      </c>
      <c r="C377" s="8" t="s">
        <v>105</v>
      </c>
      <c r="D377" s="37" t="s">
        <v>891</v>
      </c>
      <c r="E377" s="8" t="s">
        <v>2771</v>
      </c>
      <c r="F377" s="8" t="s">
        <v>2772</v>
      </c>
      <c r="G377" s="38">
        <v>39</v>
      </c>
      <c r="H377" s="38">
        <v>58</v>
      </c>
      <c r="I377" s="38">
        <v>42</v>
      </c>
      <c r="J377" s="37" t="s">
        <v>2902</v>
      </c>
      <c r="K377" s="52">
        <v>8</v>
      </c>
      <c r="L377" s="38">
        <v>40</v>
      </c>
      <c r="M377" s="38">
        <v>42</v>
      </c>
      <c r="N377" s="37" t="s">
        <v>2903</v>
      </c>
      <c r="O377" s="27">
        <v>40</v>
      </c>
      <c r="P377" s="26" t="s">
        <v>258</v>
      </c>
      <c r="Q377" s="27" t="s">
        <v>465</v>
      </c>
      <c r="R377" s="28"/>
      <c r="S377" s="28"/>
      <c r="T377" s="28" t="s">
        <v>2773</v>
      </c>
      <c r="U377" s="45">
        <f t="shared" si="15"/>
        <v>131.19999999999999</v>
      </c>
    </row>
    <row r="378" spans="1:23" x14ac:dyDescent="0.25">
      <c r="A378" s="228" t="s">
        <v>1634</v>
      </c>
      <c r="B378" s="37" t="s">
        <v>70</v>
      </c>
      <c r="C378" s="8" t="s">
        <v>105</v>
      </c>
      <c r="D378" s="37" t="s">
        <v>891</v>
      </c>
      <c r="E378" s="8" t="s">
        <v>2026</v>
      </c>
      <c r="F378" s="8" t="s">
        <v>2789</v>
      </c>
      <c r="G378" s="38">
        <v>40</v>
      </c>
      <c r="H378" s="38">
        <v>10</v>
      </c>
      <c r="I378" s="38">
        <v>58</v>
      </c>
      <c r="J378" s="37" t="s">
        <v>2902</v>
      </c>
      <c r="K378" s="52">
        <v>8</v>
      </c>
      <c r="L378" s="38">
        <v>28</v>
      </c>
      <c r="M378" s="38">
        <v>12</v>
      </c>
      <c r="N378" s="37" t="s">
        <v>2903</v>
      </c>
      <c r="O378" s="27">
        <v>90</v>
      </c>
      <c r="P378" s="26" t="s">
        <v>342</v>
      </c>
      <c r="Q378" s="27" t="s">
        <v>2790</v>
      </c>
      <c r="R378" s="28"/>
      <c r="S378" s="28"/>
      <c r="T378" s="28" t="s">
        <v>2362</v>
      </c>
      <c r="U378" s="45">
        <f t="shared" si="15"/>
        <v>295.2</v>
      </c>
    </row>
    <row r="379" spans="1:23" x14ac:dyDescent="0.25">
      <c r="A379" s="228" t="s">
        <v>1780</v>
      </c>
      <c r="B379" s="5" t="s">
        <v>124</v>
      </c>
      <c r="C379" s="4" t="s">
        <v>105</v>
      </c>
      <c r="D379" s="5" t="s">
        <v>892</v>
      </c>
      <c r="E379" s="4" t="s">
        <v>2764</v>
      </c>
      <c r="F379" s="4" t="s">
        <v>2765</v>
      </c>
      <c r="G379" s="32">
        <v>40</v>
      </c>
      <c r="H379" s="32">
        <v>37</v>
      </c>
      <c r="I379" s="32">
        <v>50</v>
      </c>
      <c r="J379" s="5" t="s">
        <v>2902</v>
      </c>
      <c r="K379" s="51">
        <v>8</v>
      </c>
      <c r="L379" s="32">
        <v>17</v>
      </c>
      <c r="M379" s="32">
        <v>20</v>
      </c>
      <c r="N379" s="5" t="s">
        <v>2903</v>
      </c>
      <c r="O379" s="33">
        <v>27</v>
      </c>
      <c r="P379" s="26" t="s">
        <v>225</v>
      </c>
      <c r="Q379" s="27" t="s">
        <v>2864</v>
      </c>
      <c r="R379" s="28" t="s">
        <v>2800</v>
      </c>
      <c r="S379" s="28"/>
      <c r="T379" s="28" t="s">
        <v>2766</v>
      </c>
      <c r="U379" s="45">
        <f t="shared" si="15"/>
        <v>88.559999999999988</v>
      </c>
    </row>
    <row r="380" spans="1:23" x14ac:dyDescent="0.25">
      <c r="A380" s="228" t="s">
        <v>1781</v>
      </c>
      <c r="B380" s="37" t="s">
        <v>70</v>
      </c>
      <c r="C380" s="8" t="s">
        <v>105</v>
      </c>
      <c r="D380" s="37" t="s">
        <v>892</v>
      </c>
      <c r="E380" s="8" t="s">
        <v>2794</v>
      </c>
      <c r="F380" s="8" t="s">
        <v>1232</v>
      </c>
      <c r="G380" s="38">
        <v>40</v>
      </c>
      <c r="H380" s="38">
        <v>34</v>
      </c>
      <c r="I380" s="38">
        <v>22</v>
      </c>
      <c r="J380" s="37" t="s">
        <v>2902</v>
      </c>
      <c r="K380" s="52">
        <v>9</v>
      </c>
      <c r="L380" s="38">
        <v>19</v>
      </c>
      <c r="M380" s="38">
        <v>40</v>
      </c>
      <c r="N380" s="37" t="s">
        <v>2903</v>
      </c>
      <c r="O380" s="27" t="s">
        <v>294</v>
      </c>
      <c r="P380" s="26" t="s">
        <v>238</v>
      </c>
      <c r="Q380" s="27" t="s">
        <v>268</v>
      </c>
      <c r="R380" s="28"/>
      <c r="S380" s="28"/>
      <c r="T380" s="28" t="s">
        <v>2109</v>
      </c>
      <c r="U380" s="45">
        <f t="shared" ref="U380:U401" si="16">IF(O380&lt;&gt;"",O380*3.28,"")</f>
        <v>2624</v>
      </c>
    </row>
    <row r="381" spans="1:23" x14ac:dyDescent="0.25">
      <c r="A381" s="228" t="s">
        <v>1782</v>
      </c>
      <c r="B381" s="37" t="s">
        <v>124</v>
      </c>
      <c r="C381" s="8" t="s">
        <v>105</v>
      </c>
      <c r="D381" s="37" t="s">
        <v>892</v>
      </c>
      <c r="E381" s="8" t="s">
        <v>2767</v>
      </c>
      <c r="F381" s="8" t="s">
        <v>2798</v>
      </c>
      <c r="G381" s="38">
        <v>40</v>
      </c>
      <c r="H381" s="38">
        <v>53</v>
      </c>
      <c r="I381" s="38">
        <v>53</v>
      </c>
      <c r="J381" s="37" t="s">
        <v>2902</v>
      </c>
      <c r="K381" s="52">
        <v>0</v>
      </c>
      <c r="L381" s="38">
        <v>31</v>
      </c>
      <c r="M381" s="38">
        <v>5</v>
      </c>
      <c r="N381" s="37" t="s">
        <v>2903</v>
      </c>
      <c r="O381" s="27">
        <v>11</v>
      </c>
      <c r="P381" s="26" t="s">
        <v>238</v>
      </c>
      <c r="Q381" s="27" t="s">
        <v>2768</v>
      </c>
      <c r="R381" s="28" t="s">
        <v>2799</v>
      </c>
      <c r="S381" s="28"/>
      <c r="T381" s="28" t="s">
        <v>2769</v>
      </c>
      <c r="U381" s="45">
        <f t="shared" si="16"/>
        <v>36.08</v>
      </c>
    </row>
    <row r="382" spans="1:23" x14ac:dyDescent="0.25">
      <c r="A382" s="228" t="s">
        <v>1783</v>
      </c>
      <c r="B382" s="37" t="s">
        <v>70</v>
      </c>
      <c r="C382" s="8" t="s">
        <v>105</v>
      </c>
      <c r="D382" s="37" t="s">
        <v>892</v>
      </c>
      <c r="E382" s="8" t="s">
        <v>10</v>
      </c>
      <c r="F382" s="8" t="s">
        <v>10</v>
      </c>
      <c r="G382" s="38">
        <v>40</v>
      </c>
      <c r="H382" s="38">
        <v>48</v>
      </c>
      <c r="I382" s="38">
        <v>48</v>
      </c>
      <c r="J382" s="37" t="s">
        <v>2902</v>
      </c>
      <c r="K382" s="52">
        <v>8</v>
      </c>
      <c r="L382" s="38">
        <v>28</v>
      </c>
      <c r="M382" s="38">
        <v>15</v>
      </c>
      <c r="N382" s="37" t="s">
        <v>2903</v>
      </c>
      <c r="O382" s="27" t="s">
        <v>255</v>
      </c>
      <c r="P382" s="26" t="s">
        <v>204</v>
      </c>
      <c r="Q382" s="27" t="s">
        <v>141</v>
      </c>
      <c r="R382" s="28"/>
      <c r="S382" s="28"/>
      <c r="T382" s="28" t="s">
        <v>2635</v>
      </c>
      <c r="U382" s="45">
        <f t="shared" si="16"/>
        <v>6.56</v>
      </c>
    </row>
    <row r="383" spans="1:23" x14ac:dyDescent="0.25">
      <c r="A383" s="228" t="s">
        <v>1784</v>
      </c>
      <c r="B383" s="37" t="s">
        <v>70</v>
      </c>
      <c r="C383" s="8" t="s">
        <v>105</v>
      </c>
      <c r="D383" s="37" t="s">
        <v>892</v>
      </c>
      <c r="E383" s="8" t="s">
        <v>11</v>
      </c>
      <c r="F383" s="8" t="s">
        <v>12</v>
      </c>
      <c r="G383" s="38">
        <v>40</v>
      </c>
      <c r="H383" s="38">
        <v>25</v>
      </c>
      <c r="I383" s="38">
        <v>30</v>
      </c>
      <c r="J383" s="37" t="s">
        <v>2902</v>
      </c>
      <c r="K383" s="52">
        <v>8</v>
      </c>
      <c r="L383" s="38">
        <v>41</v>
      </c>
      <c r="M383" s="38">
        <v>21</v>
      </c>
      <c r="N383" s="37" t="s">
        <v>2903</v>
      </c>
      <c r="O383" s="27">
        <v>420</v>
      </c>
      <c r="P383" s="26" t="s">
        <v>225</v>
      </c>
      <c r="Q383" s="27" t="s">
        <v>2363</v>
      </c>
      <c r="R383" s="28"/>
      <c r="S383" s="28"/>
      <c r="T383" s="28" t="s">
        <v>2204</v>
      </c>
      <c r="U383" s="45">
        <f t="shared" si="16"/>
        <v>1377.6</v>
      </c>
    </row>
    <row r="384" spans="1:23" x14ac:dyDescent="0.25">
      <c r="A384" s="228" t="s">
        <v>1785</v>
      </c>
      <c r="B384" s="37" t="s">
        <v>70</v>
      </c>
      <c r="C384" s="8" t="s">
        <v>105</v>
      </c>
      <c r="D384" s="37" t="s">
        <v>892</v>
      </c>
      <c r="E384" s="8" t="s">
        <v>2791</v>
      </c>
      <c r="F384" s="8" t="s">
        <v>2792</v>
      </c>
      <c r="G384" s="38">
        <v>40</v>
      </c>
      <c r="H384" s="38">
        <v>55</v>
      </c>
      <c r="I384" s="38">
        <v>49</v>
      </c>
      <c r="J384" s="37" t="s">
        <v>2902</v>
      </c>
      <c r="K384" s="52">
        <v>8</v>
      </c>
      <c r="L384" s="38">
        <v>48</v>
      </c>
      <c r="M384" s="38">
        <v>48</v>
      </c>
      <c r="N384" s="37" t="s">
        <v>2903</v>
      </c>
      <c r="O384" s="27">
        <v>0</v>
      </c>
      <c r="P384" s="26" t="s">
        <v>267</v>
      </c>
      <c r="Q384" s="27" t="s">
        <v>282</v>
      </c>
      <c r="R384" s="28"/>
      <c r="S384" s="28"/>
      <c r="T384" s="28" t="s">
        <v>2793</v>
      </c>
      <c r="U384" s="45">
        <f t="shared" si="16"/>
        <v>0</v>
      </c>
    </row>
    <row r="385" spans="1:23" x14ac:dyDescent="0.25">
      <c r="A385" s="228" t="s">
        <v>1630</v>
      </c>
      <c r="B385" s="37" t="s">
        <v>128</v>
      </c>
      <c r="C385" s="8" t="s">
        <v>105</v>
      </c>
      <c r="D385" s="37" t="s">
        <v>892</v>
      </c>
      <c r="E385" s="8" t="s">
        <v>3027</v>
      </c>
      <c r="F385" s="8" t="s">
        <v>2795</v>
      </c>
      <c r="G385" s="38">
        <v>40</v>
      </c>
      <c r="H385" s="38">
        <v>48</v>
      </c>
      <c r="I385" s="38">
        <v>10</v>
      </c>
      <c r="J385" s="37" t="s">
        <v>2902</v>
      </c>
      <c r="K385" s="52">
        <v>9</v>
      </c>
      <c r="L385" s="38">
        <v>39</v>
      </c>
      <c r="M385" s="38">
        <v>35</v>
      </c>
      <c r="N385" s="37" t="s">
        <v>2903</v>
      </c>
      <c r="O385" s="27" t="s">
        <v>255</v>
      </c>
      <c r="P385" s="26" t="s">
        <v>232</v>
      </c>
      <c r="Q385" s="27" t="s">
        <v>256</v>
      </c>
      <c r="R385" s="28" t="s">
        <v>171</v>
      </c>
      <c r="S385" s="28"/>
      <c r="T385" s="28" t="s">
        <v>2201</v>
      </c>
      <c r="U385" s="45">
        <f t="shared" si="16"/>
        <v>6.56</v>
      </c>
    </row>
    <row r="386" spans="1:23" x14ac:dyDescent="0.25">
      <c r="A386" s="228" t="s">
        <v>1786</v>
      </c>
      <c r="B386" s="5" t="s">
        <v>70</v>
      </c>
      <c r="C386" s="4" t="s">
        <v>105</v>
      </c>
      <c r="D386" s="5" t="s">
        <v>892</v>
      </c>
      <c r="E386" s="4" t="s">
        <v>555</v>
      </c>
      <c r="F386" s="4" t="s">
        <v>556</v>
      </c>
      <c r="G386" s="32">
        <v>40</v>
      </c>
      <c r="H386" s="32">
        <v>32</v>
      </c>
      <c r="I386" s="32">
        <v>53</v>
      </c>
      <c r="J386" s="5" t="s">
        <v>2902</v>
      </c>
      <c r="K386" s="51">
        <v>8</v>
      </c>
      <c r="L386" s="32">
        <v>36</v>
      </c>
      <c r="M386" s="32">
        <v>28</v>
      </c>
      <c r="N386" s="5" t="s">
        <v>2903</v>
      </c>
      <c r="O386" s="33" t="s">
        <v>526</v>
      </c>
      <c r="P386" s="26" t="s">
        <v>206</v>
      </c>
      <c r="Q386" s="27" t="s">
        <v>218</v>
      </c>
      <c r="R386" s="28"/>
      <c r="S386" s="28"/>
      <c r="T386" s="28" t="s">
        <v>1134</v>
      </c>
      <c r="U386" s="45">
        <f t="shared" si="16"/>
        <v>1640</v>
      </c>
    </row>
    <row r="387" spans="1:23" x14ac:dyDescent="0.25">
      <c r="A387" s="228" t="s">
        <v>1353</v>
      </c>
      <c r="B387" s="5" t="s">
        <v>124</v>
      </c>
      <c r="C387" s="4" t="s">
        <v>104</v>
      </c>
      <c r="D387" s="5" t="s">
        <v>893</v>
      </c>
      <c r="E387" s="4" t="s">
        <v>2809</v>
      </c>
      <c r="F387" s="4" t="s">
        <v>2810</v>
      </c>
      <c r="G387" s="32">
        <v>35</v>
      </c>
      <c r="H387" s="32">
        <v>29</v>
      </c>
      <c r="I387" s="32">
        <v>45</v>
      </c>
      <c r="J387" s="37" t="s">
        <v>2902</v>
      </c>
      <c r="K387" s="51">
        <v>12</v>
      </c>
      <c r="L387" s="32">
        <v>36</v>
      </c>
      <c r="M387" s="32">
        <v>40</v>
      </c>
      <c r="N387" s="37" t="s">
        <v>2903</v>
      </c>
      <c r="O387" s="33">
        <v>22</v>
      </c>
      <c r="P387" s="26" t="s">
        <v>191</v>
      </c>
      <c r="Q387" s="27" t="s">
        <v>2663</v>
      </c>
      <c r="R387" s="28" t="s">
        <v>2570</v>
      </c>
      <c r="S387" s="28"/>
      <c r="T387" s="28" t="s">
        <v>2811</v>
      </c>
      <c r="U387" s="45">
        <f t="shared" si="16"/>
        <v>72.16</v>
      </c>
    </row>
    <row r="388" spans="1:23" x14ac:dyDescent="0.25">
      <c r="A388" s="228" t="s">
        <v>1459</v>
      </c>
      <c r="B388" s="37" t="s">
        <v>128</v>
      </c>
      <c r="C388" s="8" t="s">
        <v>104</v>
      </c>
      <c r="D388" s="37" t="s">
        <v>894</v>
      </c>
      <c r="E388" s="8" t="s">
        <v>2833</v>
      </c>
      <c r="F388" s="8" t="s">
        <v>2834</v>
      </c>
      <c r="G388" s="38">
        <v>37</v>
      </c>
      <c r="H388" s="38">
        <v>2</v>
      </c>
      <c r="I388" s="38">
        <v>15</v>
      </c>
      <c r="J388" s="37" t="s">
        <v>2902</v>
      </c>
      <c r="K388" s="52">
        <v>14</v>
      </c>
      <c r="L388" s="38">
        <v>1</v>
      </c>
      <c r="M388" s="38">
        <v>48</v>
      </c>
      <c r="N388" s="37" t="s">
        <v>2903</v>
      </c>
      <c r="O388" s="27">
        <v>400</v>
      </c>
      <c r="P388" s="26" t="s">
        <v>238</v>
      </c>
      <c r="Q388" s="27" t="s">
        <v>346</v>
      </c>
      <c r="R388" s="28"/>
      <c r="S388" s="28"/>
      <c r="T388" s="28" t="s">
        <v>2835</v>
      </c>
      <c r="U388" s="45">
        <f t="shared" si="16"/>
        <v>1312</v>
      </c>
    </row>
    <row r="389" spans="1:23" x14ac:dyDescent="0.25">
      <c r="A389" s="231" t="s">
        <v>1460</v>
      </c>
      <c r="B389" s="37" t="s">
        <v>128</v>
      </c>
      <c r="C389" s="8" t="s">
        <v>104</v>
      </c>
      <c r="D389" s="37" t="s">
        <v>894</v>
      </c>
      <c r="E389" s="8" t="s">
        <v>260</v>
      </c>
      <c r="F389" s="8" t="s">
        <v>261</v>
      </c>
      <c r="G389" s="38">
        <v>37</v>
      </c>
      <c r="H389" s="38">
        <v>7</v>
      </c>
      <c r="I389" s="38">
        <v>55</v>
      </c>
      <c r="J389" s="37" t="s">
        <v>2902</v>
      </c>
      <c r="K389" s="52">
        <v>14</v>
      </c>
      <c r="L389" s="38">
        <v>11</v>
      </c>
      <c r="M389" s="38">
        <v>35</v>
      </c>
      <c r="N389" s="37" t="s">
        <v>2903</v>
      </c>
      <c r="O389" s="27" t="s">
        <v>262</v>
      </c>
      <c r="P389" s="26" t="s">
        <v>263</v>
      </c>
      <c r="Q389" s="27" t="s">
        <v>264</v>
      </c>
      <c r="R389" s="28" t="s">
        <v>265</v>
      </c>
      <c r="S389" s="28"/>
      <c r="T389" s="28" t="s">
        <v>1135</v>
      </c>
      <c r="U389" s="45">
        <f t="shared" si="16"/>
        <v>49.199999999999996</v>
      </c>
    </row>
    <row r="390" spans="1:23" s="247" customFormat="1" x14ac:dyDescent="0.25">
      <c r="A390" s="231" t="s">
        <v>1461</v>
      </c>
      <c r="B390" s="37" t="s">
        <v>70</v>
      </c>
      <c r="C390" s="8" t="s">
        <v>104</v>
      </c>
      <c r="D390" s="37" t="s">
        <v>894</v>
      </c>
      <c r="E390" s="8" t="s">
        <v>260</v>
      </c>
      <c r="F390" s="4" t="s">
        <v>2915</v>
      </c>
      <c r="G390" s="38">
        <v>37</v>
      </c>
      <c r="H390" s="38">
        <v>6</v>
      </c>
      <c r="I390" s="38">
        <v>50</v>
      </c>
      <c r="J390" s="37" t="s">
        <v>2902</v>
      </c>
      <c r="K390" s="52">
        <v>14</v>
      </c>
      <c r="L390" s="38">
        <v>12</v>
      </c>
      <c r="M390" s="38">
        <v>52</v>
      </c>
      <c r="N390" s="37" t="s">
        <v>2903</v>
      </c>
      <c r="O390" s="27" t="s">
        <v>385</v>
      </c>
      <c r="P390" s="26" t="s">
        <v>238</v>
      </c>
      <c r="Q390" s="27" t="s">
        <v>141</v>
      </c>
      <c r="R390" s="28" t="s">
        <v>636</v>
      </c>
      <c r="S390" s="28"/>
      <c r="T390" s="28" t="s">
        <v>1139</v>
      </c>
      <c r="U390" s="45">
        <f t="shared" si="16"/>
        <v>82</v>
      </c>
      <c r="V390" s="8"/>
      <c r="W390" s="8"/>
    </row>
    <row r="391" spans="1:23" x14ac:dyDescent="0.25">
      <c r="A391" s="231" t="s">
        <v>1462</v>
      </c>
      <c r="B391" s="37" t="s">
        <v>70</v>
      </c>
      <c r="C391" s="4" t="s">
        <v>104</v>
      </c>
      <c r="D391" s="37" t="s">
        <v>894</v>
      </c>
      <c r="E391" s="8" t="s">
        <v>260</v>
      </c>
      <c r="F391" s="8" t="s">
        <v>418</v>
      </c>
      <c r="G391" s="38">
        <v>37</v>
      </c>
      <c r="H391" s="38">
        <v>5</v>
      </c>
      <c r="I391" s="38">
        <v>58</v>
      </c>
      <c r="J391" s="5" t="s">
        <v>2902</v>
      </c>
      <c r="K391" s="52">
        <v>14</v>
      </c>
      <c r="L391" s="38">
        <v>10</v>
      </c>
      <c r="M391" s="38">
        <v>12</v>
      </c>
      <c r="N391" s="5" t="s">
        <v>2903</v>
      </c>
      <c r="O391" s="27" t="s">
        <v>285</v>
      </c>
      <c r="P391" s="26" t="s">
        <v>279</v>
      </c>
      <c r="Q391" s="27" t="s">
        <v>424</v>
      </c>
      <c r="R391" s="28"/>
      <c r="S391" s="28"/>
      <c r="T391" s="28" t="s">
        <v>2205</v>
      </c>
      <c r="U391" s="45">
        <f t="shared" si="16"/>
        <v>16.399999999999999</v>
      </c>
    </row>
    <row r="392" spans="1:23" x14ac:dyDescent="0.25">
      <c r="A392" s="231" t="s">
        <v>1463</v>
      </c>
      <c r="B392" s="37" t="s">
        <v>70</v>
      </c>
      <c r="C392" s="8" t="s">
        <v>104</v>
      </c>
      <c r="D392" s="37" t="s">
        <v>894</v>
      </c>
      <c r="E392" s="8" t="s">
        <v>2842</v>
      </c>
      <c r="F392" s="4" t="s">
        <v>2843</v>
      </c>
      <c r="G392" s="38">
        <v>37</v>
      </c>
      <c r="H392" s="38">
        <v>8</v>
      </c>
      <c r="I392" s="38">
        <v>54</v>
      </c>
      <c r="J392" s="37" t="s">
        <v>2902</v>
      </c>
      <c r="K392" s="52">
        <v>14</v>
      </c>
      <c r="L392" s="38">
        <v>21</v>
      </c>
      <c r="M392" s="38">
        <v>59</v>
      </c>
      <c r="N392" s="37" t="s">
        <v>2903</v>
      </c>
      <c r="O392" s="27"/>
      <c r="P392" s="26"/>
      <c r="Q392" s="27" t="s">
        <v>604</v>
      </c>
      <c r="R392" s="28"/>
      <c r="S392" s="28"/>
      <c r="T392" s="28" t="s">
        <v>2844</v>
      </c>
      <c r="U392" s="45" t="str">
        <f t="shared" si="16"/>
        <v/>
      </c>
    </row>
    <row r="393" spans="1:23" x14ac:dyDescent="0.25">
      <c r="A393" s="228" t="s">
        <v>1464</v>
      </c>
      <c r="B393" s="37" t="s">
        <v>70</v>
      </c>
      <c r="C393" s="8" t="s">
        <v>104</v>
      </c>
      <c r="D393" s="37" t="s">
        <v>894</v>
      </c>
      <c r="E393" s="8" t="s">
        <v>2839</v>
      </c>
      <c r="F393" s="8" t="s">
        <v>2840</v>
      </c>
      <c r="G393" s="38">
        <v>37</v>
      </c>
      <c r="H393" s="38">
        <v>26</v>
      </c>
      <c r="I393" s="38">
        <v>35</v>
      </c>
      <c r="J393" s="37" t="s">
        <v>2902</v>
      </c>
      <c r="K393" s="52">
        <v>13</v>
      </c>
      <c r="L393" s="38">
        <v>55</v>
      </c>
      <c r="M393" s="38">
        <v>26</v>
      </c>
      <c r="N393" s="37" t="s">
        <v>2903</v>
      </c>
      <c r="O393" s="27">
        <v>550</v>
      </c>
      <c r="P393" s="26" t="s">
        <v>277</v>
      </c>
      <c r="Q393" s="27" t="s">
        <v>511</v>
      </c>
      <c r="R393" s="28" t="s">
        <v>2854</v>
      </c>
      <c r="S393" s="28"/>
      <c r="T393" s="28" t="s">
        <v>2841</v>
      </c>
      <c r="U393" s="45">
        <f t="shared" si="16"/>
        <v>1804</v>
      </c>
    </row>
    <row r="394" spans="1:23" x14ac:dyDescent="0.25">
      <c r="A394" s="231" t="s">
        <v>1486</v>
      </c>
      <c r="B394" s="37" t="s">
        <v>128</v>
      </c>
      <c r="C394" s="8" t="s">
        <v>104</v>
      </c>
      <c r="D394" s="37" t="s">
        <v>895</v>
      </c>
      <c r="E394" s="8" t="s">
        <v>2953</v>
      </c>
      <c r="F394" s="8" t="s">
        <v>2027</v>
      </c>
      <c r="G394" s="38">
        <v>37</v>
      </c>
      <c r="H394" s="38">
        <v>48</v>
      </c>
      <c r="I394" s="38">
        <v>29</v>
      </c>
      <c r="J394" s="37" t="s">
        <v>2902</v>
      </c>
      <c r="K394" s="52">
        <v>15</v>
      </c>
      <c r="L394" s="38">
        <v>13</v>
      </c>
      <c r="M394" s="38">
        <v>39</v>
      </c>
      <c r="N394" s="37" t="s">
        <v>2903</v>
      </c>
      <c r="O394" s="27" t="s">
        <v>257</v>
      </c>
      <c r="P394" s="26" t="s">
        <v>225</v>
      </c>
      <c r="Q394" s="27" t="s">
        <v>256</v>
      </c>
      <c r="R394" s="28" t="s">
        <v>171</v>
      </c>
      <c r="S394" s="28"/>
      <c r="T394" s="28" t="s">
        <v>1136</v>
      </c>
      <c r="U394" s="45">
        <f t="shared" si="16"/>
        <v>196.79999999999998</v>
      </c>
    </row>
    <row r="395" spans="1:23" x14ac:dyDescent="0.25">
      <c r="A395" s="231" t="s">
        <v>1487</v>
      </c>
      <c r="B395" s="37" t="s">
        <v>70</v>
      </c>
      <c r="C395" s="8" t="s">
        <v>104</v>
      </c>
      <c r="D395" s="37" t="s">
        <v>895</v>
      </c>
      <c r="E395" s="8" t="s">
        <v>2845</v>
      </c>
      <c r="F395" s="8" t="s">
        <v>2846</v>
      </c>
      <c r="G395" s="38">
        <v>37</v>
      </c>
      <c r="H395" s="38">
        <v>11</v>
      </c>
      <c r="I395" s="38">
        <v>32</v>
      </c>
      <c r="J395" s="37" t="s">
        <v>2902</v>
      </c>
      <c r="K395" s="52">
        <v>14</v>
      </c>
      <c r="L395" s="38">
        <v>36</v>
      </c>
      <c r="M395" s="38">
        <v>47</v>
      </c>
      <c r="N395" s="37" t="s">
        <v>2903</v>
      </c>
      <c r="O395" s="27">
        <v>400</v>
      </c>
      <c r="P395" s="26" t="s">
        <v>251</v>
      </c>
      <c r="Q395" s="27" t="s">
        <v>983</v>
      </c>
      <c r="R395" s="28"/>
      <c r="S395" s="28"/>
      <c r="T395" s="28" t="s">
        <v>2847</v>
      </c>
      <c r="U395" s="45">
        <f t="shared" si="16"/>
        <v>1312</v>
      </c>
    </row>
    <row r="396" spans="1:23" x14ac:dyDescent="0.25">
      <c r="A396" s="228" t="s">
        <v>1488</v>
      </c>
      <c r="B396" s="5" t="s">
        <v>124</v>
      </c>
      <c r="C396" s="4" t="s">
        <v>104</v>
      </c>
      <c r="D396" s="5" t="s">
        <v>895</v>
      </c>
      <c r="E396" s="4" t="s">
        <v>2812</v>
      </c>
      <c r="F396" s="4" t="s">
        <v>2813</v>
      </c>
      <c r="G396" s="32">
        <v>37</v>
      </c>
      <c r="H396" s="32">
        <v>27</v>
      </c>
      <c r="I396" s="32">
        <v>56</v>
      </c>
      <c r="J396" s="5" t="s">
        <v>2902</v>
      </c>
      <c r="K396" s="51">
        <v>15</v>
      </c>
      <c r="L396" s="32">
        <v>3</v>
      </c>
      <c r="M396" s="32">
        <v>50</v>
      </c>
      <c r="N396" s="5" t="s">
        <v>2903</v>
      </c>
      <c r="O396" s="33">
        <v>15</v>
      </c>
      <c r="P396" s="26" t="s">
        <v>191</v>
      </c>
      <c r="Q396" s="27" t="s">
        <v>2814</v>
      </c>
      <c r="R396" s="28" t="s">
        <v>2853</v>
      </c>
      <c r="S396" s="28"/>
      <c r="T396" s="28" t="s">
        <v>2815</v>
      </c>
      <c r="U396" s="45">
        <f t="shared" si="16"/>
        <v>49.199999999999996</v>
      </c>
    </row>
    <row r="397" spans="1:23" x14ac:dyDescent="0.25">
      <c r="A397" s="228" t="s">
        <v>1489</v>
      </c>
      <c r="B397" s="37" t="s">
        <v>128</v>
      </c>
      <c r="C397" s="8" t="s">
        <v>104</v>
      </c>
      <c r="D397" s="37" t="s">
        <v>895</v>
      </c>
      <c r="E397" s="8" t="s">
        <v>2954</v>
      </c>
      <c r="F397" s="8" t="s">
        <v>2028</v>
      </c>
      <c r="G397" s="38">
        <v>37</v>
      </c>
      <c r="H397" s="38">
        <v>50</v>
      </c>
      <c r="I397" s="38">
        <v>30</v>
      </c>
      <c r="J397" s="37" t="s">
        <v>2902</v>
      </c>
      <c r="K397" s="52">
        <v>14</v>
      </c>
      <c r="L397" s="38">
        <v>52</v>
      </c>
      <c r="M397" s="38">
        <v>50</v>
      </c>
      <c r="N397" s="37" t="s">
        <v>2903</v>
      </c>
      <c r="O397" s="27" t="s">
        <v>554</v>
      </c>
      <c r="P397" s="26" t="s">
        <v>225</v>
      </c>
      <c r="Q397" s="27" t="s">
        <v>512</v>
      </c>
      <c r="R397" s="28"/>
      <c r="S397" s="28"/>
      <c r="T397" s="28" t="s">
        <v>1137</v>
      </c>
      <c r="U397" s="45">
        <f t="shared" si="16"/>
        <v>2755.2</v>
      </c>
    </row>
    <row r="398" spans="1:23" x14ac:dyDescent="0.25">
      <c r="A398" s="228" t="s">
        <v>1490</v>
      </c>
      <c r="B398" s="37" t="s">
        <v>128</v>
      </c>
      <c r="C398" s="4" t="s">
        <v>104</v>
      </c>
      <c r="D398" s="5" t="s">
        <v>895</v>
      </c>
      <c r="E398" s="4" t="s">
        <v>2836</v>
      </c>
      <c r="F398" s="4" t="s">
        <v>2837</v>
      </c>
      <c r="G398" s="32">
        <v>37</v>
      </c>
      <c r="H398" s="32">
        <v>23</v>
      </c>
      <c r="I398" s="32">
        <v>28</v>
      </c>
      <c r="J398" s="5" t="s">
        <v>2902</v>
      </c>
      <c r="K398" s="51">
        <v>14</v>
      </c>
      <c r="L398" s="32">
        <v>37</v>
      </c>
      <c r="M398" s="32">
        <v>13</v>
      </c>
      <c r="N398" s="5" t="s">
        <v>2903</v>
      </c>
      <c r="O398" s="33">
        <v>150</v>
      </c>
      <c r="P398" s="26" t="s">
        <v>191</v>
      </c>
      <c r="Q398" s="27" t="s">
        <v>163</v>
      </c>
      <c r="R398" s="28"/>
      <c r="S398" s="28"/>
      <c r="T398" s="28" t="s">
        <v>2838</v>
      </c>
      <c r="U398" s="45">
        <f t="shared" si="16"/>
        <v>491.99999999999994</v>
      </c>
    </row>
    <row r="399" spans="1:23" x14ac:dyDescent="0.25">
      <c r="A399" s="228" t="s">
        <v>1491</v>
      </c>
      <c r="B399" s="37" t="s">
        <v>70</v>
      </c>
      <c r="C399" s="8" t="s">
        <v>104</v>
      </c>
      <c r="D399" s="37" t="s">
        <v>895</v>
      </c>
      <c r="E399" s="8" t="s">
        <v>592</v>
      </c>
      <c r="F399" s="8" t="s">
        <v>2030</v>
      </c>
      <c r="G399" s="38">
        <v>37</v>
      </c>
      <c r="H399" s="38">
        <v>15</v>
      </c>
      <c r="I399" s="38">
        <v>48</v>
      </c>
      <c r="J399" s="37" t="s">
        <v>2902</v>
      </c>
      <c r="K399" s="52">
        <v>14</v>
      </c>
      <c r="L399" s="38">
        <v>37</v>
      </c>
      <c r="M399" s="38">
        <v>36</v>
      </c>
      <c r="N399" s="37" t="s">
        <v>2903</v>
      </c>
      <c r="O399" s="27" t="s">
        <v>278</v>
      </c>
      <c r="P399" s="26" t="s">
        <v>238</v>
      </c>
      <c r="Q399" s="27" t="s">
        <v>593</v>
      </c>
      <c r="R399" s="28" t="s">
        <v>171</v>
      </c>
      <c r="S399" s="28"/>
      <c r="T399" s="28" t="s">
        <v>1140</v>
      </c>
      <c r="U399" s="45">
        <f t="shared" si="16"/>
        <v>360.79999999999995</v>
      </c>
    </row>
    <row r="400" spans="1:23" x14ac:dyDescent="0.25">
      <c r="A400" s="231" t="s">
        <v>1492</v>
      </c>
      <c r="B400" s="37" t="s">
        <v>70</v>
      </c>
      <c r="C400" s="8" t="s">
        <v>104</v>
      </c>
      <c r="D400" s="37" t="s">
        <v>895</v>
      </c>
      <c r="E400" s="8" t="s">
        <v>2955</v>
      </c>
      <c r="F400" s="4" t="s">
        <v>1103</v>
      </c>
      <c r="G400" s="38">
        <v>37</v>
      </c>
      <c r="H400" s="38">
        <v>33</v>
      </c>
      <c r="I400" s="38">
        <v>8</v>
      </c>
      <c r="J400" s="37" t="s">
        <v>2902</v>
      </c>
      <c r="K400" s="52">
        <v>14</v>
      </c>
      <c r="L400" s="38">
        <v>52</v>
      </c>
      <c r="M400" s="38">
        <v>58</v>
      </c>
      <c r="N400" s="37" t="s">
        <v>2903</v>
      </c>
      <c r="O400" s="27" t="s">
        <v>517</v>
      </c>
      <c r="P400" s="26" t="s">
        <v>187</v>
      </c>
      <c r="Q400" s="27" t="s">
        <v>298</v>
      </c>
      <c r="R400" s="28" t="s">
        <v>518</v>
      </c>
      <c r="S400" s="28"/>
      <c r="T400" s="28" t="s">
        <v>1141</v>
      </c>
      <c r="U400" s="45">
        <f t="shared" si="16"/>
        <v>377.2</v>
      </c>
    </row>
    <row r="401" spans="1:23" x14ac:dyDescent="0.25">
      <c r="A401" s="228" t="s">
        <v>1493</v>
      </c>
      <c r="B401" s="5" t="s">
        <v>70</v>
      </c>
      <c r="C401" s="4" t="s">
        <v>104</v>
      </c>
      <c r="D401" s="5" t="s">
        <v>895</v>
      </c>
      <c r="E401" s="4" t="s">
        <v>2955</v>
      </c>
      <c r="F401" s="4" t="s">
        <v>2851</v>
      </c>
      <c r="G401" s="32">
        <v>37</v>
      </c>
      <c r="H401" s="32">
        <v>33</v>
      </c>
      <c r="I401" s="32">
        <v>48</v>
      </c>
      <c r="J401" s="5" t="s">
        <v>2902</v>
      </c>
      <c r="K401" s="51">
        <v>14</v>
      </c>
      <c r="L401" s="32">
        <v>49</v>
      </c>
      <c r="M401" s="32">
        <v>48</v>
      </c>
      <c r="N401" s="5" t="s">
        <v>2903</v>
      </c>
      <c r="O401" s="33">
        <v>150</v>
      </c>
      <c r="P401" s="26" t="s">
        <v>204</v>
      </c>
      <c r="Q401" s="27" t="s">
        <v>2425</v>
      </c>
      <c r="R401" s="28" t="s">
        <v>171</v>
      </c>
      <c r="S401" s="28"/>
      <c r="T401" s="28" t="s">
        <v>2852</v>
      </c>
      <c r="U401" s="45">
        <f t="shared" si="16"/>
        <v>491.99999999999994</v>
      </c>
    </row>
    <row r="402" spans="1:23" x14ac:dyDescent="0.25">
      <c r="A402" s="229" t="s">
        <v>1494</v>
      </c>
      <c r="B402" s="273" t="s">
        <v>124</v>
      </c>
      <c r="C402" s="259" t="s">
        <v>104</v>
      </c>
      <c r="D402" s="273" t="s">
        <v>895</v>
      </c>
      <c r="E402" s="259" t="s">
        <v>1228</v>
      </c>
      <c r="F402" s="259" t="s">
        <v>1229</v>
      </c>
      <c r="G402" s="274">
        <v>37</v>
      </c>
      <c r="H402" s="274">
        <v>24</v>
      </c>
      <c r="I402" s="274">
        <v>0</v>
      </c>
      <c r="J402" s="275" t="s">
        <v>2902</v>
      </c>
      <c r="K402" s="276">
        <v>14</v>
      </c>
      <c r="L402" s="274">
        <v>55</v>
      </c>
      <c r="M402" s="274">
        <v>0</v>
      </c>
      <c r="N402" s="273" t="s">
        <v>2903</v>
      </c>
      <c r="O402" s="277"/>
      <c r="P402" s="260" t="s">
        <v>267</v>
      </c>
      <c r="Q402" s="261" t="s">
        <v>1230</v>
      </c>
      <c r="R402" s="262" t="s">
        <v>1231</v>
      </c>
      <c r="S402" s="263"/>
      <c r="T402" s="257"/>
      <c r="U402" s="264"/>
      <c r="V402" s="259"/>
      <c r="W402" s="259"/>
    </row>
    <row r="403" spans="1:23" x14ac:dyDescent="0.25">
      <c r="A403" s="228" t="s">
        <v>1580</v>
      </c>
      <c r="B403" s="37" t="s">
        <v>70</v>
      </c>
      <c r="C403" s="8" t="s">
        <v>104</v>
      </c>
      <c r="D403" s="37" t="s">
        <v>896</v>
      </c>
      <c r="E403" s="8" t="s">
        <v>3005</v>
      </c>
      <c r="F403" s="8" t="s">
        <v>3005</v>
      </c>
      <c r="G403" s="38">
        <v>38</v>
      </c>
      <c r="H403" s="38">
        <v>6</v>
      </c>
      <c r="I403" s="38">
        <v>40</v>
      </c>
      <c r="J403" s="37" t="s">
        <v>2902</v>
      </c>
      <c r="K403" s="52">
        <v>14</v>
      </c>
      <c r="L403" s="38">
        <v>42</v>
      </c>
      <c r="M403" s="38">
        <v>30</v>
      </c>
      <c r="N403" s="37" t="s">
        <v>2903</v>
      </c>
      <c r="O403" s="27" t="s">
        <v>285</v>
      </c>
      <c r="P403" s="26" t="s">
        <v>187</v>
      </c>
      <c r="Q403" s="27" t="s">
        <v>511</v>
      </c>
      <c r="R403" s="28"/>
      <c r="S403" s="28"/>
      <c r="T403" s="28" t="s">
        <v>1142</v>
      </c>
      <c r="U403" s="45">
        <f t="shared" ref="U403:U419" si="17">IF(O403&lt;&gt;"",O403*3.28,"")</f>
        <v>16.399999999999999</v>
      </c>
    </row>
    <row r="404" spans="1:23" x14ac:dyDescent="0.25">
      <c r="A404" s="228" t="s">
        <v>1581</v>
      </c>
      <c r="B404" s="5" t="s">
        <v>128</v>
      </c>
      <c r="C404" s="4" t="s">
        <v>104</v>
      </c>
      <c r="D404" s="5" t="s">
        <v>896</v>
      </c>
      <c r="E404" s="4" t="s">
        <v>3006</v>
      </c>
      <c r="F404" s="4" t="s">
        <v>2029</v>
      </c>
      <c r="G404" s="32">
        <v>38</v>
      </c>
      <c r="H404" s="32">
        <v>2</v>
      </c>
      <c r="I404" s="32">
        <v>50</v>
      </c>
      <c r="J404" s="5" t="s">
        <v>2902</v>
      </c>
      <c r="K404" s="51">
        <v>14</v>
      </c>
      <c r="L404" s="32">
        <v>32</v>
      </c>
      <c r="M404" s="32">
        <v>23</v>
      </c>
      <c r="N404" s="5" t="s">
        <v>2903</v>
      </c>
      <c r="O404" s="33" t="s">
        <v>500</v>
      </c>
      <c r="P404" s="26" t="s">
        <v>279</v>
      </c>
      <c r="Q404" s="27" t="s">
        <v>501</v>
      </c>
      <c r="R404" s="28"/>
      <c r="S404" s="28"/>
      <c r="T404" s="28" t="s">
        <v>502</v>
      </c>
      <c r="U404" s="45">
        <f t="shared" si="17"/>
        <v>13.12</v>
      </c>
    </row>
    <row r="405" spans="1:23" x14ac:dyDescent="0.25">
      <c r="A405" s="228" t="s">
        <v>1582</v>
      </c>
      <c r="B405" s="37" t="s">
        <v>70</v>
      </c>
      <c r="C405" s="8" t="s">
        <v>104</v>
      </c>
      <c r="D405" s="37" t="s">
        <v>896</v>
      </c>
      <c r="E405" s="8" t="s">
        <v>2848</v>
      </c>
      <c r="F405" s="8" t="s">
        <v>2849</v>
      </c>
      <c r="G405" s="38">
        <v>37</v>
      </c>
      <c r="H405" s="38">
        <v>56</v>
      </c>
      <c r="I405" s="38">
        <v>7</v>
      </c>
      <c r="J405" s="37" t="s">
        <v>2902</v>
      </c>
      <c r="K405" s="52">
        <v>15</v>
      </c>
      <c r="L405" s="38">
        <v>19</v>
      </c>
      <c r="M405" s="38">
        <v>9</v>
      </c>
      <c r="N405" s="37" t="s">
        <v>2903</v>
      </c>
      <c r="O405" s="27">
        <v>70</v>
      </c>
      <c r="P405" s="26" t="s">
        <v>267</v>
      </c>
      <c r="Q405" s="27" t="s">
        <v>512</v>
      </c>
      <c r="R405" s="28"/>
      <c r="S405" s="28"/>
      <c r="T405" s="28" t="s">
        <v>2850</v>
      </c>
      <c r="U405" s="45">
        <f t="shared" si="17"/>
        <v>229.6</v>
      </c>
    </row>
    <row r="406" spans="1:23" x14ac:dyDescent="0.25">
      <c r="A406" s="228" t="s">
        <v>1635</v>
      </c>
      <c r="B406" s="37" t="s">
        <v>70</v>
      </c>
      <c r="C406" s="4" t="s">
        <v>104</v>
      </c>
      <c r="D406" s="5" t="s">
        <v>897</v>
      </c>
      <c r="E406" s="4" t="s">
        <v>2855</v>
      </c>
      <c r="F406" s="4" t="s">
        <v>2856</v>
      </c>
      <c r="G406" s="32">
        <v>37</v>
      </c>
      <c r="H406" s="32">
        <v>41</v>
      </c>
      <c r="I406" s="32">
        <v>18</v>
      </c>
      <c r="J406" s="37" t="s">
        <v>2902</v>
      </c>
      <c r="K406" s="51">
        <v>12</v>
      </c>
      <c r="L406" s="32">
        <v>44</v>
      </c>
      <c r="M406" s="32">
        <v>12</v>
      </c>
      <c r="N406" s="37" t="s">
        <v>2903</v>
      </c>
      <c r="O406" s="33">
        <v>80</v>
      </c>
      <c r="P406" s="26" t="s">
        <v>206</v>
      </c>
      <c r="Q406" s="27" t="s">
        <v>2857</v>
      </c>
      <c r="R406" s="28" t="s">
        <v>461</v>
      </c>
      <c r="S406" s="28"/>
      <c r="T406" s="28" t="s">
        <v>2858</v>
      </c>
      <c r="U406" s="45">
        <f t="shared" si="17"/>
        <v>262.39999999999998</v>
      </c>
    </row>
    <row r="407" spans="1:23" x14ac:dyDescent="0.25">
      <c r="A407" s="228" t="s">
        <v>1636</v>
      </c>
      <c r="B407" s="5" t="s">
        <v>70</v>
      </c>
      <c r="C407" s="4" t="s">
        <v>104</v>
      </c>
      <c r="D407" s="5" t="s">
        <v>897</v>
      </c>
      <c r="E407" s="4" t="s">
        <v>2167</v>
      </c>
      <c r="F407" s="4" t="s">
        <v>3039</v>
      </c>
      <c r="G407" s="32">
        <v>37</v>
      </c>
      <c r="H407" s="32">
        <v>59</v>
      </c>
      <c r="I407" s="32">
        <v>25</v>
      </c>
      <c r="J407" s="5" t="s">
        <v>2902</v>
      </c>
      <c r="K407" s="51">
        <v>13</v>
      </c>
      <c r="L407" s="32">
        <v>51</v>
      </c>
      <c r="M407" s="32">
        <v>21</v>
      </c>
      <c r="N407" s="5" t="s">
        <v>2903</v>
      </c>
      <c r="O407" s="33"/>
      <c r="P407" s="26" t="s">
        <v>238</v>
      </c>
      <c r="Q407" s="27" t="s">
        <v>271</v>
      </c>
      <c r="R407" s="28"/>
      <c r="S407" s="28"/>
      <c r="T407" s="28" t="s">
        <v>1143</v>
      </c>
      <c r="U407" s="45" t="str">
        <f t="shared" si="17"/>
        <v/>
      </c>
    </row>
    <row r="408" spans="1:23" s="247" customFormat="1" x14ac:dyDescent="0.25">
      <c r="A408" s="228" t="s">
        <v>1637</v>
      </c>
      <c r="B408" s="37" t="s">
        <v>124</v>
      </c>
      <c r="C408" s="8" t="s">
        <v>104</v>
      </c>
      <c r="D408" s="37" t="s">
        <v>897</v>
      </c>
      <c r="E408" s="8" t="s">
        <v>2816</v>
      </c>
      <c r="F408" s="8" t="s">
        <v>2820</v>
      </c>
      <c r="G408" s="38">
        <v>38</v>
      </c>
      <c r="H408" s="38">
        <v>6</v>
      </c>
      <c r="I408" s="38">
        <v>43</v>
      </c>
      <c r="J408" s="37" t="s">
        <v>2902</v>
      </c>
      <c r="K408" s="52">
        <v>13</v>
      </c>
      <c r="L408" s="38">
        <v>18</v>
      </c>
      <c r="M408" s="38">
        <v>51</v>
      </c>
      <c r="N408" s="37" t="s">
        <v>2903</v>
      </c>
      <c r="O408" s="27">
        <v>100</v>
      </c>
      <c r="P408" s="26" t="s">
        <v>214</v>
      </c>
      <c r="Q408" s="27" t="s">
        <v>2821</v>
      </c>
      <c r="R408" s="28" t="s">
        <v>485</v>
      </c>
      <c r="S408" s="28"/>
      <c r="T408" s="28" t="s">
        <v>2822</v>
      </c>
      <c r="U408" s="45">
        <f t="shared" si="17"/>
        <v>328</v>
      </c>
      <c r="V408" s="8"/>
      <c r="W408" s="8"/>
    </row>
    <row r="409" spans="1:23" s="247" customFormat="1" x14ac:dyDescent="0.25">
      <c r="A409" s="228" t="s">
        <v>1638</v>
      </c>
      <c r="B409" s="37" t="s">
        <v>124</v>
      </c>
      <c r="C409" s="8" t="s">
        <v>104</v>
      </c>
      <c r="D409" s="37" t="s">
        <v>897</v>
      </c>
      <c r="E409" s="8" t="s">
        <v>2816</v>
      </c>
      <c r="F409" s="8" t="s">
        <v>2823</v>
      </c>
      <c r="G409" s="38">
        <v>38</v>
      </c>
      <c r="H409" s="38">
        <v>10</v>
      </c>
      <c r="I409" s="38">
        <v>53</v>
      </c>
      <c r="J409" s="37" t="s">
        <v>2902</v>
      </c>
      <c r="K409" s="52">
        <v>13</v>
      </c>
      <c r="L409" s="38">
        <v>5</v>
      </c>
      <c r="M409" s="38">
        <v>58</v>
      </c>
      <c r="N409" s="37" t="s">
        <v>2903</v>
      </c>
      <c r="O409" s="27">
        <v>20</v>
      </c>
      <c r="P409" s="26" t="s">
        <v>251</v>
      </c>
      <c r="Q409" s="27" t="s">
        <v>2824</v>
      </c>
      <c r="R409" s="28" t="s">
        <v>2626</v>
      </c>
      <c r="S409" s="28"/>
      <c r="T409" s="28" t="s">
        <v>2825</v>
      </c>
      <c r="U409" s="45">
        <f t="shared" si="17"/>
        <v>65.599999999999994</v>
      </c>
      <c r="V409" s="8"/>
      <c r="W409" s="8"/>
    </row>
    <row r="410" spans="1:23" x14ac:dyDescent="0.25">
      <c r="A410" s="228" t="s">
        <v>1728</v>
      </c>
      <c r="B410" s="37" t="s">
        <v>128</v>
      </c>
      <c r="C410" s="8" t="s">
        <v>104</v>
      </c>
      <c r="D410" s="37" t="s">
        <v>898</v>
      </c>
      <c r="E410" s="8" t="s">
        <v>3067</v>
      </c>
      <c r="F410" s="8" t="s">
        <v>3068</v>
      </c>
      <c r="G410" s="38">
        <v>37</v>
      </c>
      <c r="H410" s="38">
        <v>0</v>
      </c>
      <c r="I410" s="38">
        <v>30</v>
      </c>
      <c r="J410" s="37" t="s">
        <v>2902</v>
      </c>
      <c r="K410" s="52">
        <v>14</v>
      </c>
      <c r="L410" s="38">
        <v>35</v>
      </c>
      <c r="M410" s="38">
        <v>42</v>
      </c>
      <c r="N410" s="37" t="s">
        <v>2903</v>
      </c>
      <c r="O410" s="27" t="s">
        <v>230</v>
      </c>
      <c r="P410" s="26" t="s">
        <v>445</v>
      </c>
      <c r="Q410" s="27" t="s">
        <v>136</v>
      </c>
      <c r="R410" s="28" t="s">
        <v>171</v>
      </c>
      <c r="S410" s="28"/>
      <c r="T410" s="28" t="s">
        <v>1138</v>
      </c>
      <c r="U410" s="45">
        <f t="shared" si="17"/>
        <v>721.59999999999991</v>
      </c>
    </row>
    <row r="411" spans="1:23" x14ac:dyDescent="0.25">
      <c r="A411" s="228" t="s">
        <v>1729</v>
      </c>
      <c r="B411" s="5" t="s">
        <v>70</v>
      </c>
      <c r="C411" s="4" t="s">
        <v>104</v>
      </c>
      <c r="D411" s="5" t="s">
        <v>898</v>
      </c>
      <c r="E411" s="4" t="s">
        <v>1104</v>
      </c>
      <c r="F411" s="4" t="s">
        <v>2031</v>
      </c>
      <c r="G411" s="32">
        <v>36</v>
      </c>
      <c r="H411" s="32">
        <v>43</v>
      </c>
      <c r="I411" s="32">
        <v>16</v>
      </c>
      <c r="J411" s="5" t="s">
        <v>2902</v>
      </c>
      <c r="K411" s="51">
        <v>14</v>
      </c>
      <c r="L411" s="32">
        <v>46</v>
      </c>
      <c r="M411" s="32">
        <v>22</v>
      </c>
      <c r="N411" s="5" t="s">
        <v>2903</v>
      </c>
      <c r="O411" s="33">
        <v>0</v>
      </c>
      <c r="P411" s="26" t="s">
        <v>303</v>
      </c>
      <c r="Q411" s="27" t="s">
        <v>652</v>
      </c>
      <c r="R411" s="28"/>
      <c r="S411" s="28"/>
      <c r="T411" s="28" t="s">
        <v>1144</v>
      </c>
      <c r="U411" s="45">
        <f t="shared" si="17"/>
        <v>0</v>
      </c>
    </row>
    <row r="412" spans="1:23" x14ac:dyDescent="0.25">
      <c r="A412" s="228" t="s">
        <v>1730</v>
      </c>
      <c r="B412" s="37" t="s">
        <v>128</v>
      </c>
      <c r="C412" s="8" t="s">
        <v>104</v>
      </c>
      <c r="D412" s="37" t="s">
        <v>898</v>
      </c>
      <c r="E412" s="8" t="s">
        <v>3066</v>
      </c>
      <c r="F412" s="4" t="s">
        <v>685</v>
      </c>
      <c r="G412" s="38">
        <v>36</v>
      </c>
      <c r="H412" s="38">
        <v>51</v>
      </c>
      <c r="I412" s="38">
        <v>39</v>
      </c>
      <c r="J412" s="37" t="s">
        <v>2902</v>
      </c>
      <c r="K412" s="52">
        <v>14</v>
      </c>
      <c r="L412" s="38">
        <v>37</v>
      </c>
      <c r="M412" s="38">
        <v>38</v>
      </c>
      <c r="N412" s="37" t="s">
        <v>2903</v>
      </c>
      <c r="O412" s="27" t="s">
        <v>686</v>
      </c>
      <c r="P412" s="26" t="s">
        <v>251</v>
      </c>
      <c r="Q412" s="27" t="s">
        <v>687</v>
      </c>
      <c r="R412" s="28" t="s">
        <v>688</v>
      </c>
      <c r="S412" s="28"/>
      <c r="T412" s="28" t="s">
        <v>2206</v>
      </c>
      <c r="U412" s="45">
        <f t="shared" si="17"/>
        <v>1400.56</v>
      </c>
    </row>
    <row r="413" spans="1:23" x14ac:dyDescent="0.25">
      <c r="A413" s="228" t="s">
        <v>1778</v>
      </c>
      <c r="B413" s="5" t="s">
        <v>70</v>
      </c>
      <c r="C413" s="4" t="s">
        <v>104</v>
      </c>
      <c r="D413" s="5" t="s">
        <v>899</v>
      </c>
      <c r="E413" s="4" t="s">
        <v>18</v>
      </c>
      <c r="F413" s="4" t="s">
        <v>2052</v>
      </c>
      <c r="G413" s="32">
        <v>36</v>
      </c>
      <c r="H413" s="32">
        <v>43</v>
      </c>
      <c r="I413" s="32">
        <v>6</v>
      </c>
      <c r="J413" s="5" t="s">
        <v>2902</v>
      </c>
      <c r="K413" s="51">
        <v>15</v>
      </c>
      <c r="L413" s="32">
        <v>1</v>
      </c>
      <c r="M413" s="32">
        <v>0</v>
      </c>
      <c r="N413" s="5" t="s">
        <v>2903</v>
      </c>
      <c r="O413" s="33" t="s">
        <v>292</v>
      </c>
      <c r="P413" s="26" t="s">
        <v>566</v>
      </c>
      <c r="Q413" s="27" t="s">
        <v>567</v>
      </c>
      <c r="R413" s="28" t="s">
        <v>171</v>
      </c>
      <c r="S413" s="28"/>
      <c r="T413" s="28" t="s">
        <v>568</v>
      </c>
      <c r="U413" s="45">
        <f t="shared" si="17"/>
        <v>55.76</v>
      </c>
    </row>
    <row r="414" spans="1:23" x14ac:dyDescent="0.25">
      <c r="A414" s="228" t="s">
        <v>1779</v>
      </c>
      <c r="B414" s="37" t="s">
        <v>128</v>
      </c>
      <c r="C414" s="8" t="s">
        <v>104</v>
      </c>
      <c r="D414" s="37" t="s">
        <v>899</v>
      </c>
      <c r="E414" s="8" t="s">
        <v>17</v>
      </c>
      <c r="F414" s="8" t="s">
        <v>434</v>
      </c>
      <c r="G414" s="38">
        <v>37</v>
      </c>
      <c r="H414" s="38">
        <v>1</v>
      </c>
      <c r="I414" s="38">
        <v>58</v>
      </c>
      <c r="J414" s="37" t="s">
        <v>2902</v>
      </c>
      <c r="K414" s="52">
        <v>15</v>
      </c>
      <c r="L414" s="38">
        <v>14</v>
      </c>
      <c r="M414" s="38">
        <v>36</v>
      </c>
      <c r="N414" s="37" t="s">
        <v>2903</v>
      </c>
      <c r="O414" s="27" t="s">
        <v>228</v>
      </c>
      <c r="P414" s="26" t="s">
        <v>225</v>
      </c>
      <c r="Q414" s="27" t="s">
        <v>268</v>
      </c>
      <c r="R414" s="28" t="s">
        <v>171</v>
      </c>
      <c r="S414" s="28"/>
      <c r="T414" s="28" t="s">
        <v>435</v>
      </c>
      <c r="U414" s="45">
        <f t="shared" si="17"/>
        <v>65.599999999999994</v>
      </c>
    </row>
    <row r="415" spans="1:23" x14ac:dyDescent="0.25">
      <c r="A415" s="228" t="s">
        <v>1817</v>
      </c>
      <c r="B415" s="37" t="s">
        <v>70</v>
      </c>
      <c r="C415" s="8" t="s">
        <v>104</v>
      </c>
      <c r="D415" s="37" t="s">
        <v>900</v>
      </c>
      <c r="E415" s="8" t="s">
        <v>34</v>
      </c>
      <c r="F415" s="8" t="s">
        <v>2032</v>
      </c>
      <c r="G415" s="38">
        <v>37</v>
      </c>
      <c r="H415" s="38">
        <v>41</v>
      </c>
      <c r="I415" s="38">
        <v>30</v>
      </c>
      <c r="J415" s="37" t="s">
        <v>2902</v>
      </c>
      <c r="K415" s="52">
        <v>12</v>
      </c>
      <c r="L415" s="38">
        <v>44</v>
      </c>
      <c r="M415" s="38">
        <v>22</v>
      </c>
      <c r="N415" s="37" t="s">
        <v>2903</v>
      </c>
      <c r="O415" s="27" t="s">
        <v>562</v>
      </c>
      <c r="P415" s="26" t="s">
        <v>206</v>
      </c>
      <c r="Q415" s="27" t="s">
        <v>563</v>
      </c>
      <c r="R415" s="28"/>
      <c r="S415" s="28"/>
      <c r="T415" s="28" t="s">
        <v>2634</v>
      </c>
      <c r="U415" s="45">
        <f t="shared" si="17"/>
        <v>541.19999999999993</v>
      </c>
    </row>
    <row r="416" spans="1:23" x14ac:dyDescent="0.25">
      <c r="A416" s="228" t="s">
        <v>1818</v>
      </c>
      <c r="B416" s="37" t="s">
        <v>124</v>
      </c>
      <c r="C416" s="8" t="s">
        <v>104</v>
      </c>
      <c r="D416" s="37" t="s">
        <v>900</v>
      </c>
      <c r="E416" s="8" t="s">
        <v>2826</v>
      </c>
      <c r="F416" s="8" t="s">
        <v>2827</v>
      </c>
      <c r="G416" s="38">
        <v>36</v>
      </c>
      <c r="H416" s="38">
        <v>48</v>
      </c>
      <c r="I416" s="38">
        <v>49</v>
      </c>
      <c r="J416" s="37" t="s">
        <v>2902</v>
      </c>
      <c r="K416" s="52">
        <v>11</v>
      </c>
      <c r="L416" s="38">
        <v>57</v>
      </c>
      <c r="M416" s="38">
        <v>58</v>
      </c>
      <c r="N416" s="37" t="s">
        <v>2903</v>
      </c>
      <c r="O416" s="27">
        <v>194</v>
      </c>
      <c r="P416" s="26" t="s">
        <v>225</v>
      </c>
      <c r="Q416" s="27" t="s">
        <v>2663</v>
      </c>
      <c r="R416" s="28" t="s">
        <v>2477</v>
      </c>
      <c r="S416" s="28"/>
      <c r="T416" s="28" t="s">
        <v>2828</v>
      </c>
      <c r="U416" s="45">
        <f t="shared" si="17"/>
        <v>636.31999999999994</v>
      </c>
    </row>
    <row r="417" spans="1:23" x14ac:dyDescent="0.25">
      <c r="A417" s="228" t="s">
        <v>1819</v>
      </c>
      <c r="B417" s="5" t="s">
        <v>128</v>
      </c>
      <c r="C417" s="4" t="s">
        <v>104</v>
      </c>
      <c r="D417" s="5" t="s">
        <v>900</v>
      </c>
      <c r="E417" s="4" t="s">
        <v>2044</v>
      </c>
      <c r="F417" s="4" t="s">
        <v>2045</v>
      </c>
      <c r="G417" s="32">
        <v>37</v>
      </c>
      <c r="H417" s="32">
        <v>47</v>
      </c>
      <c r="I417" s="32">
        <v>41</v>
      </c>
      <c r="J417" s="5" t="s">
        <v>2902</v>
      </c>
      <c r="K417" s="51">
        <v>12</v>
      </c>
      <c r="L417" s="32">
        <v>50</v>
      </c>
      <c r="M417" s="32">
        <v>50</v>
      </c>
      <c r="N417" s="5" t="s">
        <v>2903</v>
      </c>
      <c r="O417" s="33">
        <v>200</v>
      </c>
      <c r="P417" s="26" t="s">
        <v>194</v>
      </c>
      <c r="Q417" s="27" t="s">
        <v>158</v>
      </c>
      <c r="R417" s="28"/>
      <c r="S417" s="28"/>
      <c r="T417" s="28" t="s">
        <v>2046</v>
      </c>
      <c r="U417" s="45">
        <f t="shared" si="17"/>
        <v>656</v>
      </c>
    </row>
    <row r="418" spans="1:23" x14ac:dyDescent="0.25">
      <c r="A418" s="228" t="s">
        <v>1820</v>
      </c>
      <c r="B418" s="5" t="s">
        <v>124</v>
      </c>
      <c r="C418" s="4" t="s">
        <v>104</v>
      </c>
      <c r="D418" s="37" t="s">
        <v>900</v>
      </c>
      <c r="E418" s="8" t="s">
        <v>2829</v>
      </c>
      <c r="F418" s="4" t="s">
        <v>2830</v>
      </c>
      <c r="G418" s="38">
        <v>37</v>
      </c>
      <c r="H418" s="38">
        <v>54</v>
      </c>
      <c r="I418" s="38">
        <v>42</v>
      </c>
      <c r="J418" s="5" t="s">
        <v>2902</v>
      </c>
      <c r="K418" s="52">
        <v>12</v>
      </c>
      <c r="L418" s="38">
        <v>29</v>
      </c>
      <c r="M418" s="38">
        <v>11</v>
      </c>
      <c r="N418" s="5" t="s">
        <v>2903</v>
      </c>
      <c r="O418" s="27">
        <v>10</v>
      </c>
      <c r="P418" s="26" t="s">
        <v>247</v>
      </c>
      <c r="Q418" s="27" t="s">
        <v>2831</v>
      </c>
      <c r="R418" s="28" t="s">
        <v>2627</v>
      </c>
      <c r="S418" s="28"/>
      <c r="T418" s="28" t="s">
        <v>2832</v>
      </c>
      <c r="U418" s="45">
        <f t="shared" si="17"/>
        <v>32.799999999999997</v>
      </c>
    </row>
    <row r="419" spans="1:23" x14ac:dyDescent="0.25">
      <c r="A419" s="228" t="s">
        <v>1376</v>
      </c>
      <c r="B419" s="5" t="s">
        <v>124</v>
      </c>
      <c r="C419" s="4" t="s">
        <v>95</v>
      </c>
      <c r="D419" s="5" t="s">
        <v>901</v>
      </c>
      <c r="E419" s="4" t="s">
        <v>803</v>
      </c>
      <c r="F419" s="4" t="s">
        <v>804</v>
      </c>
      <c r="G419" s="32">
        <v>43</v>
      </c>
      <c r="H419" s="32">
        <v>27</v>
      </c>
      <c r="I419" s="32">
        <v>19</v>
      </c>
      <c r="J419" s="5" t="s">
        <v>2902</v>
      </c>
      <c r="K419" s="51">
        <v>11</v>
      </c>
      <c r="L419" s="32">
        <v>50</v>
      </c>
      <c r="M419" s="32">
        <v>13</v>
      </c>
      <c r="N419" s="5" t="s">
        <v>2903</v>
      </c>
      <c r="O419" s="33">
        <v>240</v>
      </c>
      <c r="P419" s="26" t="s">
        <v>342</v>
      </c>
      <c r="Q419" s="27" t="s">
        <v>805</v>
      </c>
      <c r="R419" s="28" t="s">
        <v>2552</v>
      </c>
      <c r="S419" s="28"/>
      <c r="T419" s="28" t="s">
        <v>806</v>
      </c>
      <c r="U419" s="45">
        <f t="shared" si="17"/>
        <v>787.19999999999993</v>
      </c>
    </row>
    <row r="420" spans="1:23" x14ac:dyDescent="0.25">
      <c r="A420" s="229" t="s">
        <v>1377</v>
      </c>
      <c r="B420" s="267" t="s">
        <v>70</v>
      </c>
      <c r="C420" s="268" t="s">
        <v>95</v>
      </c>
      <c r="D420" s="267" t="s">
        <v>901</v>
      </c>
      <c r="E420" s="268" t="s">
        <v>1224</v>
      </c>
      <c r="F420" s="268" t="s">
        <v>1225</v>
      </c>
      <c r="G420" s="269">
        <v>43</v>
      </c>
      <c r="H420" s="269">
        <v>28</v>
      </c>
      <c r="I420" s="269">
        <v>6</v>
      </c>
      <c r="J420" s="270" t="s">
        <v>2902</v>
      </c>
      <c r="K420" s="271">
        <v>11</v>
      </c>
      <c r="L420" s="269">
        <v>35</v>
      </c>
      <c r="M420" s="269">
        <v>49</v>
      </c>
      <c r="N420" s="267" t="s">
        <v>2903</v>
      </c>
      <c r="O420" s="272">
        <v>255</v>
      </c>
      <c r="P420" s="260" t="s">
        <v>267</v>
      </c>
      <c r="Q420" s="261" t="s">
        <v>1226</v>
      </c>
      <c r="R420" s="262"/>
      <c r="S420" s="263"/>
      <c r="T420" s="263" t="s">
        <v>1227</v>
      </c>
      <c r="U420" s="264">
        <v>836</v>
      </c>
      <c r="V420" s="259"/>
      <c r="W420" s="259"/>
    </row>
    <row r="421" spans="1:23" x14ac:dyDescent="0.25">
      <c r="A421" s="228" t="s">
        <v>1378</v>
      </c>
      <c r="B421" s="5" t="s">
        <v>128</v>
      </c>
      <c r="C421" s="4" t="s">
        <v>95</v>
      </c>
      <c r="D421" s="5" t="s">
        <v>901</v>
      </c>
      <c r="E421" s="4" t="s">
        <v>789</v>
      </c>
      <c r="F421" s="4" t="s">
        <v>430</v>
      </c>
      <c r="G421" s="32">
        <v>43</v>
      </c>
      <c r="H421" s="32">
        <v>20</v>
      </c>
      <c r="I421" s="32">
        <v>0</v>
      </c>
      <c r="J421" s="5" t="s">
        <v>2902</v>
      </c>
      <c r="K421" s="51">
        <v>11</v>
      </c>
      <c r="L421" s="32">
        <v>52</v>
      </c>
      <c r="M421" s="32">
        <v>0</v>
      </c>
      <c r="N421" s="5" t="s">
        <v>2903</v>
      </c>
      <c r="O421" s="33" t="s">
        <v>431</v>
      </c>
      <c r="P421" s="26" t="s">
        <v>275</v>
      </c>
      <c r="Q421" s="27" t="s">
        <v>432</v>
      </c>
      <c r="R421" s="28" t="s">
        <v>171</v>
      </c>
      <c r="S421" s="28"/>
      <c r="T421" s="28" t="s">
        <v>433</v>
      </c>
      <c r="U421" s="45">
        <f t="shared" ref="U421:U433" si="18">IF(O421&lt;&gt;"",O421*3.28,"")</f>
        <v>898.71999999999991</v>
      </c>
    </row>
    <row r="422" spans="1:23" s="247" customFormat="1" x14ac:dyDescent="0.25">
      <c r="A422" s="228" t="s">
        <v>1379</v>
      </c>
      <c r="B422" s="37" t="s">
        <v>70</v>
      </c>
      <c r="C422" s="8" t="s">
        <v>95</v>
      </c>
      <c r="D422" s="37" t="s">
        <v>901</v>
      </c>
      <c r="E422" s="8" t="s">
        <v>2909</v>
      </c>
      <c r="F422" s="8" t="s">
        <v>700</v>
      </c>
      <c r="G422" s="38">
        <v>43</v>
      </c>
      <c r="H422" s="38">
        <v>31</v>
      </c>
      <c r="I422" s="38">
        <v>59</v>
      </c>
      <c r="J422" s="37" t="s">
        <v>2902</v>
      </c>
      <c r="K422" s="52">
        <v>11</v>
      </c>
      <c r="L422" s="38">
        <v>28</v>
      </c>
      <c r="M422" s="38">
        <v>40</v>
      </c>
      <c r="N422" s="37" t="s">
        <v>2903</v>
      </c>
      <c r="O422" s="27">
        <v>350</v>
      </c>
      <c r="P422" s="26" t="s">
        <v>194</v>
      </c>
      <c r="Q422" s="27" t="s">
        <v>368</v>
      </c>
      <c r="R422" s="28"/>
      <c r="S422" s="28"/>
      <c r="T422" s="28" t="s">
        <v>859</v>
      </c>
      <c r="U422" s="45">
        <f t="shared" si="18"/>
        <v>1148</v>
      </c>
      <c r="V422" s="8"/>
      <c r="W422" s="8"/>
    </row>
    <row r="423" spans="1:23" s="247" customFormat="1" x14ac:dyDescent="0.25">
      <c r="A423" s="228" t="s">
        <v>1380</v>
      </c>
      <c r="B423" s="37" t="s">
        <v>128</v>
      </c>
      <c r="C423" s="8" t="s">
        <v>95</v>
      </c>
      <c r="D423" s="37" t="s">
        <v>901</v>
      </c>
      <c r="E423" s="8" t="s">
        <v>829</v>
      </c>
      <c r="F423" s="8" t="s">
        <v>830</v>
      </c>
      <c r="G423" s="38">
        <v>43</v>
      </c>
      <c r="H423" s="38">
        <v>32</v>
      </c>
      <c r="I423" s="38">
        <v>27</v>
      </c>
      <c r="J423" s="37" t="s">
        <v>2902</v>
      </c>
      <c r="K423" s="52">
        <v>11</v>
      </c>
      <c r="L423" s="38">
        <v>42</v>
      </c>
      <c r="M423" s="38">
        <v>9</v>
      </c>
      <c r="N423" s="37" t="s">
        <v>2903</v>
      </c>
      <c r="O423" s="27">
        <v>275</v>
      </c>
      <c r="P423" s="26" t="s">
        <v>330</v>
      </c>
      <c r="Q423" s="27" t="s">
        <v>831</v>
      </c>
      <c r="R423" s="28" t="s">
        <v>461</v>
      </c>
      <c r="S423" s="28"/>
      <c r="T423" s="28" t="s">
        <v>832</v>
      </c>
      <c r="U423" s="45">
        <f t="shared" si="18"/>
        <v>902</v>
      </c>
      <c r="V423" s="8"/>
      <c r="W423" s="8"/>
    </row>
    <row r="424" spans="1:23" s="247" customFormat="1" x14ac:dyDescent="0.25">
      <c r="A424" s="228" t="s">
        <v>1381</v>
      </c>
      <c r="B424" s="5" t="s">
        <v>128</v>
      </c>
      <c r="C424" s="4" t="s">
        <v>95</v>
      </c>
      <c r="D424" s="5" t="s">
        <v>901</v>
      </c>
      <c r="E424" s="4" t="s">
        <v>2910</v>
      </c>
      <c r="F424" s="4" t="s">
        <v>2911</v>
      </c>
      <c r="G424" s="32">
        <v>43</v>
      </c>
      <c r="H424" s="32">
        <v>33</v>
      </c>
      <c r="I424" s="32">
        <v>12</v>
      </c>
      <c r="J424" s="5" t="s">
        <v>2902</v>
      </c>
      <c r="K424" s="51">
        <v>12</v>
      </c>
      <c r="L424" s="32">
        <v>9</v>
      </c>
      <c r="M424" s="32">
        <v>16</v>
      </c>
      <c r="N424" s="5" t="s">
        <v>2903</v>
      </c>
      <c r="O424" s="33" t="s">
        <v>352</v>
      </c>
      <c r="P424" s="26" t="s">
        <v>330</v>
      </c>
      <c r="Q424" s="27" t="s">
        <v>353</v>
      </c>
      <c r="R424" s="28" t="s">
        <v>171</v>
      </c>
      <c r="S424" s="28"/>
      <c r="T424" s="28" t="s">
        <v>354</v>
      </c>
      <c r="U424" s="45">
        <f t="shared" si="18"/>
        <v>1082.3999999999999</v>
      </c>
      <c r="V424" s="8"/>
      <c r="W424" s="8"/>
    </row>
    <row r="425" spans="1:23" x14ac:dyDescent="0.25">
      <c r="A425" s="228" t="s">
        <v>1511</v>
      </c>
      <c r="B425" s="5" t="s">
        <v>128</v>
      </c>
      <c r="C425" s="4" t="s">
        <v>95</v>
      </c>
      <c r="D425" s="5" t="s">
        <v>902</v>
      </c>
      <c r="E425" s="4" t="s">
        <v>2974</v>
      </c>
      <c r="F425" s="4" t="s">
        <v>2975</v>
      </c>
      <c r="G425" s="32">
        <v>43</v>
      </c>
      <c r="H425" s="32">
        <v>59</v>
      </c>
      <c r="I425" s="32">
        <v>41</v>
      </c>
      <c r="J425" s="5" t="s">
        <v>2902</v>
      </c>
      <c r="K425" s="51">
        <v>11</v>
      </c>
      <c r="L425" s="32">
        <v>17</v>
      </c>
      <c r="M425" s="32">
        <v>46</v>
      </c>
      <c r="N425" s="5" t="s">
        <v>2903</v>
      </c>
      <c r="O425" s="33" t="s">
        <v>205</v>
      </c>
      <c r="P425" s="26" t="s">
        <v>187</v>
      </c>
      <c r="Q425" s="27" t="s">
        <v>320</v>
      </c>
      <c r="R425" s="28"/>
      <c r="S425" s="28"/>
      <c r="T425" s="28" t="s">
        <v>321</v>
      </c>
      <c r="U425" s="45">
        <f t="shared" si="18"/>
        <v>852.8</v>
      </c>
    </row>
    <row r="426" spans="1:23" x14ac:dyDescent="0.25">
      <c r="A426" s="228" t="s">
        <v>1512</v>
      </c>
      <c r="B426" s="37" t="s">
        <v>128</v>
      </c>
      <c r="C426" s="8" t="s">
        <v>95</v>
      </c>
      <c r="D426" s="37" t="s">
        <v>902</v>
      </c>
      <c r="E426" s="8" t="s">
        <v>2976</v>
      </c>
      <c r="F426" s="4" t="s">
        <v>790</v>
      </c>
      <c r="G426" s="38">
        <v>43</v>
      </c>
      <c r="H426" s="38">
        <v>59</v>
      </c>
      <c r="I426" s="38">
        <v>36</v>
      </c>
      <c r="J426" s="37" t="s">
        <v>2902</v>
      </c>
      <c r="K426" s="52">
        <v>11</v>
      </c>
      <c r="L426" s="38">
        <v>23</v>
      </c>
      <c r="M426" s="38">
        <v>49</v>
      </c>
      <c r="N426" s="37" t="s">
        <v>2903</v>
      </c>
      <c r="O426" s="27" t="s">
        <v>244</v>
      </c>
      <c r="P426" s="26" t="s">
        <v>194</v>
      </c>
      <c r="Q426" s="27" t="s">
        <v>322</v>
      </c>
      <c r="R426" s="28" t="s">
        <v>171</v>
      </c>
      <c r="S426" s="28"/>
      <c r="T426" s="28" t="s">
        <v>323</v>
      </c>
      <c r="U426" s="45">
        <f t="shared" si="18"/>
        <v>951.19999999999993</v>
      </c>
    </row>
    <row r="427" spans="1:23" x14ac:dyDescent="0.25">
      <c r="A427" s="228" t="s">
        <v>1513</v>
      </c>
      <c r="B427" s="37" t="s">
        <v>70</v>
      </c>
      <c r="C427" s="8" t="s">
        <v>95</v>
      </c>
      <c r="D427" s="37" t="s">
        <v>902</v>
      </c>
      <c r="E427" s="8" t="s">
        <v>840</v>
      </c>
      <c r="F427" s="8" t="s">
        <v>841</v>
      </c>
      <c r="G427" s="38">
        <v>43</v>
      </c>
      <c r="H427" s="38">
        <v>43</v>
      </c>
      <c r="I427" s="38">
        <v>29</v>
      </c>
      <c r="J427" s="37" t="s">
        <v>2902</v>
      </c>
      <c r="K427" s="52">
        <v>10</v>
      </c>
      <c r="L427" s="38">
        <v>59</v>
      </c>
      <c r="M427" s="38">
        <v>1</v>
      </c>
      <c r="N427" s="37" t="s">
        <v>2903</v>
      </c>
      <c r="O427" s="27">
        <v>25</v>
      </c>
      <c r="P427" s="26" t="s">
        <v>204</v>
      </c>
      <c r="Q427" s="27" t="s">
        <v>842</v>
      </c>
      <c r="R427" s="28" t="s">
        <v>2553</v>
      </c>
      <c r="S427" s="28"/>
      <c r="T427" s="28" t="s">
        <v>843</v>
      </c>
      <c r="U427" s="45">
        <f t="shared" si="18"/>
        <v>82</v>
      </c>
    </row>
    <row r="428" spans="1:23" x14ac:dyDescent="0.25">
      <c r="A428" s="228" t="s">
        <v>1514</v>
      </c>
      <c r="B428" s="5" t="s">
        <v>124</v>
      </c>
      <c r="C428" s="4" t="s">
        <v>95</v>
      </c>
      <c r="D428" s="5" t="s">
        <v>902</v>
      </c>
      <c r="E428" s="4" t="s">
        <v>807</v>
      </c>
      <c r="F428" s="4" t="s">
        <v>2895</v>
      </c>
      <c r="G428" s="32">
        <v>43</v>
      </c>
      <c r="H428" s="32">
        <v>48</v>
      </c>
      <c r="I428" s="32">
        <v>29</v>
      </c>
      <c r="J428" s="5" t="s">
        <v>2902</v>
      </c>
      <c r="K428" s="51">
        <v>11</v>
      </c>
      <c r="L428" s="32">
        <v>12</v>
      </c>
      <c r="M428" s="32">
        <v>11</v>
      </c>
      <c r="N428" s="5" t="s">
        <v>2903</v>
      </c>
      <c r="O428" s="33">
        <v>41</v>
      </c>
      <c r="P428" s="26" t="s">
        <v>279</v>
      </c>
      <c r="Q428" s="27" t="s">
        <v>2880</v>
      </c>
      <c r="R428" s="28" t="s">
        <v>2536</v>
      </c>
      <c r="S428" s="28"/>
      <c r="T428" s="28" t="s">
        <v>808</v>
      </c>
      <c r="U428" s="45">
        <f t="shared" si="18"/>
        <v>134.47999999999999</v>
      </c>
    </row>
    <row r="429" spans="1:23" x14ac:dyDescent="0.25">
      <c r="A429" s="228" t="s">
        <v>1530</v>
      </c>
      <c r="B429" s="37" t="s">
        <v>128</v>
      </c>
      <c r="C429" s="8" t="s">
        <v>95</v>
      </c>
      <c r="D429" s="5" t="s">
        <v>903</v>
      </c>
      <c r="E429" s="4" t="s">
        <v>833</v>
      </c>
      <c r="F429" s="4" t="s">
        <v>834</v>
      </c>
      <c r="G429" s="32">
        <v>42</v>
      </c>
      <c r="H429" s="32">
        <v>29</v>
      </c>
      <c r="I429" s="32">
        <v>47</v>
      </c>
      <c r="J429" s="37" t="s">
        <v>2902</v>
      </c>
      <c r="K429" s="51">
        <v>11</v>
      </c>
      <c r="L429" s="32">
        <v>14</v>
      </c>
      <c r="M429" s="32">
        <v>22</v>
      </c>
      <c r="N429" s="37" t="s">
        <v>2903</v>
      </c>
      <c r="O429" s="33">
        <v>2</v>
      </c>
      <c r="P429" s="26" t="s">
        <v>187</v>
      </c>
      <c r="Q429" s="27" t="s">
        <v>835</v>
      </c>
      <c r="R429" s="28" t="s">
        <v>171</v>
      </c>
      <c r="S429" s="28"/>
      <c r="T429" s="28" t="s">
        <v>836</v>
      </c>
      <c r="U429" s="45">
        <f t="shared" si="18"/>
        <v>6.56</v>
      </c>
    </row>
    <row r="430" spans="1:23" x14ac:dyDescent="0.25">
      <c r="A430" s="229" t="s">
        <v>1531</v>
      </c>
      <c r="B430" s="267" t="s">
        <v>128</v>
      </c>
      <c r="C430" s="268" t="s">
        <v>95</v>
      </c>
      <c r="D430" s="267" t="s">
        <v>903</v>
      </c>
      <c r="E430" s="268" t="s">
        <v>1222</v>
      </c>
      <c r="F430" s="268" t="s">
        <v>1223</v>
      </c>
      <c r="G430" s="269">
        <v>42</v>
      </c>
      <c r="H430" s="269">
        <v>24</v>
      </c>
      <c r="I430" s="269">
        <v>24</v>
      </c>
      <c r="J430" s="270" t="s">
        <v>2902</v>
      </c>
      <c r="K430" s="271">
        <v>11</v>
      </c>
      <c r="L430" s="269">
        <v>23</v>
      </c>
      <c r="M430" s="269">
        <v>52</v>
      </c>
      <c r="N430" s="267" t="s">
        <v>2903</v>
      </c>
      <c r="O430" s="272">
        <v>7</v>
      </c>
      <c r="P430" s="260" t="s">
        <v>232</v>
      </c>
      <c r="Q430" s="261" t="s">
        <v>687</v>
      </c>
      <c r="R430" s="262"/>
      <c r="S430" s="263"/>
      <c r="T430" s="263"/>
      <c r="U430" s="264">
        <f t="shared" si="18"/>
        <v>22.959999999999997</v>
      </c>
      <c r="V430" s="259"/>
      <c r="W430" s="259"/>
    </row>
    <row r="431" spans="1:23" x14ac:dyDescent="0.25">
      <c r="A431" s="228" t="s">
        <v>1532</v>
      </c>
      <c r="B431" s="37" t="s">
        <v>128</v>
      </c>
      <c r="C431" s="8" t="s">
        <v>95</v>
      </c>
      <c r="D431" s="37" t="s">
        <v>903</v>
      </c>
      <c r="E431" s="8" t="s">
        <v>2169</v>
      </c>
      <c r="F431" s="8" t="s">
        <v>2985</v>
      </c>
      <c r="G431" s="38">
        <v>42</v>
      </c>
      <c r="H431" s="38">
        <v>50</v>
      </c>
      <c r="I431" s="38">
        <v>30</v>
      </c>
      <c r="J431" s="37" t="s">
        <v>2902</v>
      </c>
      <c r="K431" s="52">
        <v>10</v>
      </c>
      <c r="L431" s="38">
        <v>49</v>
      </c>
      <c r="M431" s="38">
        <v>20</v>
      </c>
      <c r="N431" s="37" t="s">
        <v>2903</v>
      </c>
      <c r="O431" s="27" t="s">
        <v>285</v>
      </c>
      <c r="P431" s="26" t="s">
        <v>191</v>
      </c>
      <c r="Q431" s="27" t="s">
        <v>359</v>
      </c>
      <c r="R431" s="28"/>
      <c r="S431" s="28"/>
      <c r="T431" s="28" t="s">
        <v>1009</v>
      </c>
      <c r="U431" s="45">
        <f t="shared" si="18"/>
        <v>16.399999999999999</v>
      </c>
    </row>
    <row r="432" spans="1:23" x14ac:dyDescent="0.25">
      <c r="A432" s="228" t="s">
        <v>1538</v>
      </c>
      <c r="B432" s="5" t="s">
        <v>124</v>
      </c>
      <c r="C432" s="4" t="s">
        <v>95</v>
      </c>
      <c r="D432" s="5" t="s">
        <v>903</v>
      </c>
      <c r="E432" s="4" t="s">
        <v>809</v>
      </c>
      <c r="F432" s="4" t="s">
        <v>810</v>
      </c>
      <c r="G432" s="32">
        <v>42</v>
      </c>
      <c r="H432" s="32">
        <v>45</v>
      </c>
      <c r="I432" s="32">
        <v>39</v>
      </c>
      <c r="J432" s="5" t="s">
        <v>2902</v>
      </c>
      <c r="K432" s="51">
        <v>11</v>
      </c>
      <c r="L432" s="32">
        <v>4</v>
      </c>
      <c r="M432" s="32">
        <v>15</v>
      </c>
      <c r="N432" s="5" t="s">
        <v>2903</v>
      </c>
      <c r="O432" s="33">
        <v>5</v>
      </c>
      <c r="P432" s="26" t="s">
        <v>225</v>
      </c>
      <c r="Q432" s="27" t="s">
        <v>2881</v>
      </c>
      <c r="R432" s="28"/>
      <c r="S432" s="28"/>
      <c r="T432" s="28" t="s">
        <v>811</v>
      </c>
      <c r="U432" s="45">
        <f t="shared" si="18"/>
        <v>16.399999999999999</v>
      </c>
    </row>
    <row r="433" spans="1:23" x14ac:dyDescent="0.25">
      <c r="A433" s="228" t="s">
        <v>1533</v>
      </c>
      <c r="B433" s="5" t="s">
        <v>70</v>
      </c>
      <c r="C433" s="4" t="s">
        <v>95</v>
      </c>
      <c r="D433" s="5" t="s">
        <v>903</v>
      </c>
      <c r="E433" s="4" t="s">
        <v>809</v>
      </c>
      <c r="F433" s="4" t="s">
        <v>844</v>
      </c>
      <c r="G433" s="32">
        <v>42</v>
      </c>
      <c r="H433" s="32">
        <v>46</v>
      </c>
      <c r="I433" s="32">
        <v>27</v>
      </c>
      <c r="J433" s="5" t="s">
        <v>2902</v>
      </c>
      <c r="K433" s="51">
        <v>11</v>
      </c>
      <c r="L433" s="32">
        <v>9</v>
      </c>
      <c r="M433" s="32">
        <v>20</v>
      </c>
      <c r="N433" s="5" t="s">
        <v>2903</v>
      </c>
      <c r="O433" s="33">
        <v>12</v>
      </c>
      <c r="P433" s="26" t="s">
        <v>251</v>
      </c>
      <c r="Q433" s="27" t="s">
        <v>845</v>
      </c>
      <c r="R433" s="28"/>
      <c r="S433" s="28"/>
      <c r="T433" s="28" t="s">
        <v>846</v>
      </c>
      <c r="U433" s="45">
        <f t="shared" si="18"/>
        <v>39.36</v>
      </c>
    </row>
    <row r="434" spans="1:23" x14ac:dyDescent="0.25">
      <c r="A434" s="229" t="s">
        <v>1534</v>
      </c>
      <c r="B434" s="267" t="s">
        <v>70</v>
      </c>
      <c r="C434" s="268" t="s">
        <v>95</v>
      </c>
      <c r="D434" s="267" t="s">
        <v>903</v>
      </c>
      <c r="E434" s="268" t="s">
        <v>809</v>
      </c>
      <c r="F434" s="268" t="s">
        <v>1925</v>
      </c>
      <c r="G434" s="269">
        <v>42</v>
      </c>
      <c r="H434" s="269">
        <v>14</v>
      </c>
      <c r="I434" s="269">
        <v>30</v>
      </c>
      <c r="J434" s="270" t="s">
        <v>2902</v>
      </c>
      <c r="K434" s="271">
        <v>11</v>
      </c>
      <c r="L434" s="269">
        <v>5</v>
      </c>
      <c r="M434" s="269">
        <v>27</v>
      </c>
      <c r="N434" s="267" t="s">
        <v>2903</v>
      </c>
      <c r="O434" s="272"/>
      <c r="P434" s="260"/>
      <c r="Q434" s="261" t="s">
        <v>1221</v>
      </c>
      <c r="R434" s="262"/>
      <c r="S434" s="263"/>
      <c r="T434" s="263"/>
      <c r="U434" s="264"/>
      <c r="V434" s="259"/>
      <c r="W434" s="259"/>
    </row>
    <row r="435" spans="1:23" x14ac:dyDescent="0.25">
      <c r="A435" s="228" t="s">
        <v>1535</v>
      </c>
      <c r="B435" s="37" t="s">
        <v>128</v>
      </c>
      <c r="C435" s="8" t="s">
        <v>95</v>
      </c>
      <c r="D435" s="37" t="s">
        <v>903</v>
      </c>
      <c r="E435" s="8" t="s">
        <v>622</v>
      </c>
      <c r="F435" s="4" t="s">
        <v>623</v>
      </c>
      <c r="G435" s="38">
        <v>42</v>
      </c>
      <c r="H435" s="38">
        <v>31</v>
      </c>
      <c r="I435" s="38">
        <v>11</v>
      </c>
      <c r="J435" s="37" t="s">
        <v>2902</v>
      </c>
      <c r="K435" s="52">
        <v>11</v>
      </c>
      <c r="L435" s="38">
        <v>19</v>
      </c>
      <c r="M435" s="38">
        <v>27</v>
      </c>
      <c r="N435" s="37" t="s">
        <v>2903</v>
      </c>
      <c r="O435" s="27">
        <v>15</v>
      </c>
      <c r="P435" s="26" t="s">
        <v>277</v>
      </c>
      <c r="Q435" s="27" t="s">
        <v>624</v>
      </c>
      <c r="R435" s="28"/>
      <c r="S435" s="28"/>
      <c r="T435" s="28" t="s">
        <v>2209</v>
      </c>
      <c r="U435" s="45">
        <f t="shared" ref="U435:U456" si="19">IF(O435&lt;&gt;"",O435*3.28,"")</f>
        <v>49.199999999999996</v>
      </c>
    </row>
    <row r="436" spans="1:23" x14ac:dyDescent="0.25">
      <c r="A436" s="228" t="s">
        <v>1536</v>
      </c>
      <c r="B436" s="37" t="s">
        <v>128</v>
      </c>
      <c r="C436" s="8" t="s">
        <v>95</v>
      </c>
      <c r="D436" s="37" t="s">
        <v>903</v>
      </c>
      <c r="E436" s="8" t="s">
        <v>2986</v>
      </c>
      <c r="F436" s="8" t="s">
        <v>796</v>
      </c>
      <c r="G436" s="38">
        <v>42</v>
      </c>
      <c r="H436" s="38">
        <v>59</v>
      </c>
      <c r="I436" s="38">
        <v>34</v>
      </c>
      <c r="J436" s="37" t="s">
        <v>2902</v>
      </c>
      <c r="K436" s="52">
        <v>10</v>
      </c>
      <c r="L436" s="38">
        <v>48</v>
      </c>
      <c r="M436" s="38">
        <v>22</v>
      </c>
      <c r="N436" s="37" t="s">
        <v>2903</v>
      </c>
      <c r="O436" s="27" t="s">
        <v>529</v>
      </c>
      <c r="P436" s="26" t="s">
        <v>267</v>
      </c>
      <c r="Q436" s="27" t="s">
        <v>533</v>
      </c>
      <c r="R436" s="28"/>
      <c r="S436" s="28"/>
      <c r="T436" s="28" t="s">
        <v>534</v>
      </c>
      <c r="U436" s="45">
        <f t="shared" si="19"/>
        <v>206.64</v>
      </c>
    </row>
    <row r="437" spans="1:23" x14ac:dyDescent="0.25">
      <c r="A437" s="228" t="s">
        <v>1537</v>
      </c>
      <c r="B437" s="37" t="s">
        <v>128</v>
      </c>
      <c r="C437" s="8" t="s">
        <v>95</v>
      </c>
      <c r="D437" s="37" t="s">
        <v>903</v>
      </c>
      <c r="E437" s="8" t="s">
        <v>2168</v>
      </c>
      <c r="F437" s="8" t="s">
        <v>847</v>
      </c>
      <c r="G437" s="38">
        <v>42</v>
      </c>
      <c r="H437" s="38">
        <v>26</v>
      </c>
      <c r="I437" s="38">
        <v>15</v>
      </c>
      <c r="J437" s="37" t="s">
        <v>2902</v>
      </c>
      <c r="K437" s="52">
        <v>11</v>
      </c>
      <c r="L437" s="38">
        <v>12</v>
      </c>
      <c r="M437" s="38">
        <v>39</v>
      </c>
      <c r="N437" s="37" t="s">
        <v>2903</v>
      </c>
      <c r="O437" s="27">
        <v>0</v>
      </c>
      <c r="P437" s="26" t="s">
        <v>342</v>
      </c>
      <c r="Q437" s="27" t="s">
        <v>241</v>
      </c>
      <c r="R437" s="28"/>
      <c r="S437" s="28"/>
      <c r="T437" s="28" t="s">
        <v>848</v>
      </c>
      <c r="U437" s="45">
        <f t="shared" si="19"/>
        <v>0</v>
      </c>
    </row>
    <row r="438" spans="1:23" x14ac:dyDescent="0.25">
      <c r="A438" s="228" t="s">
        <v>1539</v>
      </c>
      <c r="B438" s="5" t="s">
        <v>70</v>
      </c>
      <c r="C438" s="4" t="s">
        <v>95</v>
      </c>
      <c r="D438" s="5" t="s">
        <v>903</v>
      </c>
      <c r="E438" s="4" t="s">
        <v>795</v>
      </c>
      <c r="F438" s="4" t="s">
        <v>2180</v>
      </c>
      <c r="G438" s="32">
        <v>42</v>
      </c>
      <c r="H438" s="32">
        <v>58</v>
      </c>
      <c r="I438" s="32">
        <v>0</v>
      </c>
      <c r="J438" s="5" t="s">
        <v>2902</v>
      </c>
      <c r="K438" s="51">
        <v>11</v>
      </c>
      <c r="L438" s="32">
        <v>23</v>
      </c>
      <c r="M438" s="32">
        <v>0</v>
      </c>
      <c r="N438" s="5" t="s">
        <v>2903</v>
      </c>
      <c r="O438" s="33" t="s">
        <v>311</v>
      </c>
      <c r="P438" s="26" t="s">
        <v>204</v>
      </c>
      <c r="Q438" s="27" t="s">
        <v>516</v>
      </c>
      <c r="R438" s="28"/>
      <c r="S438" s="28"/>
      <c r="T438" s="28" t="s">
        <v>858</v>
      </c>
      <c r="U438" s="45">
        <f t="shared" si="19"/>
        <v>164</v>
      </c>
    </row>
    <row r="439" spans="1:23" x14ac:dyDescent="0.25">
      <c r="A439" s="228" t="s">
        <v>1540</v>
      </c>
      <c r="B439" s="5" t="s">
        <v>70</v>
      </c>
      <c r="C439" s="4" t="s">
        <v>95</v>
      </c>
      <c r="D439" s="5" t="s">
        <v>903</v>
      </c>
      <c r="E439" s="4" t="s">
        <v>2987</v>
      </c>
      <c r="F439" s="4" t="s">
        <v>797</v>
      </c>
      <c r="G439" s="32">
        <v>42</v>
      </c>
      <c r="H439" s="32">
        <v>55</v>
      </c>
      <c r="I439" s="32">
        <v>39</v>
      </c>
      <c r="J439" s="5" t="s">
        <v>2902</v>
      </c>
      <c r="K439" s="51">
        <v>10</v>
      </c>
      <c r="L439" s="32">
        <v>50</v>
      </c>
      <c r="M439" s="32">
        <v>31</v>
      </c>
      <c r="N439" s="5" t="s">
        <v>2903</v>
      </c>
      <c r="O439" s="33" t="s">
        <v>285</v>
      </c>
      <c r="P439" s="26" t="s">
        <v>267</v>
      </c>
      <c r="Q439" s="27" t="s">
        <v>360</v>
      </c>
      <c r="R439" s="28"/>
      <c r="S439" s="28"/>
      <c r="T439" s="28" t="s">
        <v>863</v>
      </c>
      <c r="U439" s="45">
        <f t="shared" si="19"/>
        <v>16.399999999999999</v>
      </c>
    </row>
    <row r="440" spans="1:23" x14ac:dyDescent="0.25">
      <c r="A440" s="228" t="s">
        <v>1552</v>
      </c>
      <c r="B440" s="5" t="s">
        <v>70</v>
      </c>
      <c r="C440" s="8" t="s">
        <v>95</v>
      </c>
      <c r="D440" s="5" t="s">
        <v>904</v>
      </c>
      <c r="E440" s="4" t="s">
        <v>849</v>
      </c>
      <c r="F440" s="4" t="s">
        <v>850</v>
      </c>
      <c r="G440" s="32">
        <v>42</v>
      </c>
      <c r="H440" s="32">
        <v>59</v>
      </c>
      <c r="I440" s="32">
        <v>39</v>
      </c>
      <c r="J440" s="5" t="s">
        <v>2902</v>
      </c>
      <c r="K440" s="51">
        <v>10</v>
      </c>
      <c r="L440" s="32">
        <v>35</v>
      </c>
      <c r="M440" s="32">
        <v>57</v>
      </c>
      <c r="N440" s="37" t="s">
        <v>2903</v>
      </c>
      <c r="O440" s="33">
        <v>11</v>
      </c>
      <c r="P440" s="26" t="s">
        <v>225</v>
      </c>
      <c r="Q440" s="27" t="s">
        <v>851</v>
      </c>
      <c r="R440" s="28"/>
      <c r="S440" s="28"/>
      <c r="T440" s="28" t="s">
        <v>852</v>
      </c>
      <c r="U440" s="45">
        <f t="shared" si="19"/>
        <v>36.08</v>
      </c>
    </row>
    <row r="441" spans="1:23" x14ac:dyDescent="0.25">
      <c r="A441" s="228" t="s">
        <v>1553</v>
      </c>
      <c r="B441" s="5" t="s">
        <v>70</v>
      </c>
      <c r="C441" s="4" t="s">
        <v>95</v>
      </c>
      <c r="D441" s="5" t="s">
        <v>904</v>
      </c>
      <c r="E441" s="4" t="s">
        <v>853</v>
      </c>
      <c r="F441" s="4" t="s">
        <v>854</v>
      </c>
      <c r="G441" s="32">
        <v>43</v>
      </c>
      <c r="H441" s="32">
        <v>11</v>
      </c>
      <c r="I441" s="32">
        <v>20</v>
      </c>
      <c r="J441" s="5" t="s">
        <v>2902</v>
      </c>
      <c r="K441" s="51">
        <v>10</v>
      </c>
      <c r="L441" s="32">
        <v>33</v>
      </c>
      <c r="M441" s="32">
        <v>23</v>
      </c>
      <c r="N441" s="5" t="s">
        <v>2903</v>
      </c>
      <c r="O441" s="33">
        <v>6</v>
      </c>
      <c r="P441" s="26" t="s">
        <v>191</v>
      </c>
      <c r="Q441" s="27" t="s">
        <v>855</v>
      </c>
      <c r="R441" s="28"/>
      <c r="S441" s="28"/>
      <c r="T441" s="28" t="s">
        <v>856</v>
      </c>
      <c r="U441" s="45">
        <f t="shared" si="19"/>
        <v>19.68</v>
      </c>
    </row>
    <row r="442" spans="1:23" x14ac:dyDescent="0.25">
      <c r="A442" s="228" t="s">
        <v>1554</v>
      </c>
      <c r="B442" s="37" t="s">
        <v>70</v>
      </c>
      <c r="C442" s="8" t="s">
        <v>95</v>
      </c>
      <c r="D442" s="37" t="s">
        <v>904</v>
      </c>
      <c r="E442" s="8" t="s">
        <v>2993</v>
      </c>
      <c r="F442" s="8" t="s">
        <v>791</v>
      </c>
      <c r="G442" s="38">
        <v>43</v>
      </c>
      <c r="H442" s="38">
        <v>17</v>
      </c>
      <c r="I442" s="38">
        <v>10</v>
      </c>
      <c r="J442" s="37" t="s">
        <v>2902</v>
      </c>
      <c r="K442" s="52">
        <v>10</v>
      </c>
      <c r="L442" s="38">
        <v>31</v>
      </c>
      <c r="M442" s="38">
        <v>47</v>
      </c>
      <c r="N442" s="37" t="s">
        <v>2903</v>
      </c>
      <c r="O442" s="27" t="s">
        <v>324</v>
      </c>
      <c r="P442" s="26" t="s">
        <v>325</v>
      </c>
      <c r="Q442" s="27" t="s">
        <v>256</v>
      </c>
      <c r="R442" s="28"/>
      <c r="S442" s="28"/>
      <c r="T442" s="28" t="s">
        <v>326</v>
      </c>
      <c r="U442" s="45">
        <f t="shared" si="19"/>
        <v>39.36</v>
      </c>
    </row>
    <row r="443" spans="1:23" x14ac:dyDescent="0.25">
      <c r="A443" s="228" t="s">
        <v>1555</v>
      </c>
      <c r="B443" s="37" t="s">
        <v>128</v>
      </c>
      <c r="C443" s="8" t="s">
        <v>95</v>
      </c>
      <c r="D443" s="37" t="s">
        <v>904</v>
      </c>
      <c r="E443" s="4" t="s">
        <v>2554</v>
      </c>
      <c r="F443" s="8" t="s">
        <v>2033</v>
      </c>
      <c r="G443" s="38">
        <v>43</v>
      </c>
      <c r="H443" s="38">
        <v>37</v>
      </c>
      <c r="I443" s="38">
        <v>43</v>
      </c>
      <c r="J443" s="37" t="s">
        <v>2902</v>
      </c>
      <c r="K443" s="52">
        <v>10</v>
      </c>
      <c r="L443" s="38">
        <v>28</v>
      </c>
      <c r="M443" s="38">
        <v>58</v>
      </c>
      <c r="N443" s="37" t="s">
        <v>2903</v>
      </c>
      <c r="O443" s="27" t="s">
        <v>463</v>
      </c>
      <c r="P443" s="26" t="s">
        <v>204</v>
      </c>
      <c r="Q443" s="27" t="s">
        <v>134</v>
      </c>
      <c r="R443" s="28"/>
      <c r="S443" s="28"/>
      <c r="T443" s="28" t="s">
        <v>862</v>
      </c>
      <c r="U443" s="45">
        <f t="shared" si="19"/>
        <v>9.84</v>
      </c>
    </row>
    <row r="444" spans="1:23" x14ac:dyDescent="0.25">
      <c r="A444" s="228" t="s">
        <v>1556</v>
      </c>
      <c r="B444" s="37" t="s">
        <v>124</v>
      </c>
      <c r="C444" s="8" t="s">
        <v>95</v>
      </c>
      <c r="D444" s="37" t="s">
        <v>904</v>
      </c>
      <c r="E444" s="8" t="s">
        <v>812</v>
      </c>
      <c r="F444" s="4" t="s">
        <v>813</v>
      </c>
      <c r="G444" s="38">
        <v>42</v>
      </c>
      <c r="H444" s="38">
        <v>45</v>
      </c>
      <c r="I444" s="38">
        <v>40</v>
      </c>
      <c r="J444" s="37" t="s">
        <v>2902</v>
      </c>
      <c r="K444" s="52">
        <v>10</v>
      </c>
      <c r="L444" s="38">
        <v>14</v>
      </c>
      <c r="M444" s="38">
        <v>23</v>
      </c>
      <c r="N444" s="37" t="s">
        <v>2903</v>
      </c>
      <c r="O444" s="27">
        <v>8</v>
      </c>
      <c r="P444" s="26" t="s">
        <v>275</v>
      </c>
      <c r="Q444" s="27" t="s">
        <v>2882</v>
      </c>
      <c r="R444" s="28" t="s">
        <v>2560</v>
      </c>
      <c r="S444" s="28"/>
      <c r="T444" s="28" t="s">
        <v>814</v>
      </c>
      <c r="U444" s="45">
        <f t="shared" si="19"/>
        <v>26.24</v>
      </c>
    </row>
    <row r="445" spans="1:23" x14ac:dyDescent="0.25">
      <c r="A445" s="228" t="s">
        <v>1557</v>
      </c>
      <c r="B445" s="37" t="s">
        <v>128</v>
      </c>
      <c r="C445" s="8" t="s">
        <v>95</v>
      </c>
      <c r="D445" s="37" t="s">
        <v>904</v>
      </c>
      <c r="E445" s="8" t="s">
        <v>2994</v>
      </c>
      <c r="F445" s="8" t="s">
        <v>2034</v>
      </c>
      <c r="G445" s="38">
        <v>42</v>
      </c>
      <c r="H445" s="38">
        <v>58</v>
      </c>
      <c r="I445" s="38">
        <v>9</v>
      </c>
      <c r="J445" s="37" t="s">
        <v>2902</v>
      </c>
      <c r="K445" s="52">
        <v>10</v>
      </c>
      <c r="L445" s="38">
        <v>37</v>
      </c>
      <c r="M445" s="38">
        <v>11</v>
      </c>
      <c r="N445" s="37" t="s">
        <v>2903</v>
      </c>
      <c r="O445" s="27" t="s">
        <v>463</v>
      </c>
      <c r="P445" s="26" t="s">
        <v>247</v>
      </c>
      <c r="Q445" s="27" t="s">
        <v>467</v>
      </c>
      <c r="R445" s="28" t="s">
        <v>171</v>
      </c>
      <c r="S445" s="28"/>
      <c r="T445" s="28" t="s">
        <v>861</v>
      </c>
      <c r="U445" s="45">
        <f t="shared" si="19"/>
        <v>9.84</v>
      </c>
    </row>
    <row r="446" spans="1:23" x14ac:dyDescent="0.25">
      <c r="A446" s="228" t="s">
        <v>1558</v>
      </c>
      <c r="B446" s="37" t="s">
        <v>128</v>
      </c>
      <c r="C446" s="8" t="s">
        <v>95</v>
      </c>
      <c r="D446" s="37" t="s">
        <v>904</v>
      </c>
      <c r="E446" s="8" t="s">
        <v>620</v>
      </c>
      <c r="F446" s="8" t="s">
        <v>621</v>
      </c>
      <c r="G446" s="38">
        <v>43</v>
      </c>
      <c r="H446" s="38">
        <v>3</v>
      </c>
      <c r="I446" s="38">
        <v>1</v>
      </c>
      <c r="J446" s="37" t="s">
        <v>2902</v>
      </c>
      <c r="K446" s="52">
        <v>10</v>
      </c>
      <c r="L446" s="38">
        <v>33</v>
      </c>
      <c r="M446" s="38">
        <v>2</v>
      </c>
      <c r="N446" s="37" t="s">
        <v>2903</v>
      </c>
      <c r="O446" s="27" t="s">
        <v>514</v>
      </c>
      <c r="P446" s="26" t="s">
        <v>204</v>
      </c>
      <c r="Q446" s="27" t="s">
        <v>134</v>
      </c>
      <c r="R446" s="28" t="s">
        <v>461</v>
      </c>
      <c r="S446" s="28"/>
      <c r="T446" s="28" t="s">
        <v>2207</v>
      </c>
      <c r="U446" s="45">
        <f t="shared" si="19"/>
        <v>36.08</v>
      </c>
    </row>
    <row r="447" spans="1:23" x14ac:dyDescent="0.25">
      <c r="A447" s="228" t="s">
        <v>1559</v>
      </c>
      <c r="B447" s="37" t="s">
        <v>70</v>
      </c>
      <c r="C447" s="8" t="s">
        <v>95</v>
      </c>
      <c r="D447" s="37" t="s">
        <v>904</v>
      </c>
      <c r="E447" s="8" t="s">
        <v>2995</v>
      </c>
      <c r="F447" s="8" t="s">
        <v>799</v>
      </c>
      <c r="G447" s="38">
        <v>43</v>
      </c>
      <c r="H447" s="38">
        <v>5</v>
      </c>
      <c r="I447" s="38">
        <v>40</v>
      </c>
      <c r="J447" s="37" t="s">
        <v>2902</v>
      </c>
      <c r="K447" s="52">
        <v>10</v>
      </c>
      <c r="L447" s="38">
        <v>33</v>
      </c>
      <c r="M447" s="38">
        <v>56</v>
      </c>
      <c r="N447" s="37" t="s">
        <v>2903</v>
      </c>
      <c r="O447" s="27" t="s">
        <v>312</v>
      </c>
      <c r="P447" s="26" t="s">
        <v>206</v>
      </c>
      <c r="Q447" s="27" t="s">
        <v>369</v>
      </c>
      <c r="R447" s="28"/>
      <c r="S447" s="28"/>
      <c r="T447" s="28" t="s">
        <v>964</v>
      </c>
      <c r="U447" s="45">
        <f t="shared" si="19"/>
        <v>98.399999999999991</v>
      </c>
    </row>
    <row r="448" spans="1:23" x14ac:dyDescent="0.25">
      <c r="A448" s="228" t="s">
        <v>1560</v>
      </c>
      <c r="B448" s="37" t="s">
        <v>70</v>
      </c>
      <c r="C448" s="8" t="s">
        <v>95</v>
      </c>
      <c r="D448" s="5" t="s">
        <v>904</v>
      </c>
      <c r="E448" s="4" t="s">
        <v>798</v>
      </c>
      <c r="F448" s="4" t="s">
        <v>2992</v>
      </c>
      <c r="G448" s="32">
        <v>43</v>
      </c>
      <c r="H448" s="32">
        <v>1</v>
      </c>
      <c r="I448" s="32">
        <v>23</v>
      </c>
      <c r="J448" s="37" t="s">
        <v>2902</v>
      </c>
      <c r="K448" s="51">
        <v>10</v>
      </c>
      <c r="L448" s="32">
        <v>36</v>
      </c>
      <c r="M448" s="32">
        <v>40</v>
      </c>
      <c r="N448" s="37" t="s">
        <v>2903</v>
      </c>
      <c r="O448" s="33" t="s">
        <v>262</v>
      </c>
      <c r="P448" s="26" t="s">
        <v>206</v>
      </c>
      <c r="Q448" s="27" t="s">
        <v>611</v>
      </c>
      <c r="R448" s="28" t="s">
        <v>612</v>
      </c>
      <c r="S448" s="28"/>
      <c r="T448" s="28" t="s">
        <v>963</v>
      </c>
      <c r="U448" s="45">
        <f t="shared" si="19"/>
        <v>49.199999999999996</v>
      </c>
    </row>
    <row r="449" spans="1:23" x14ac:dyDescent="0.25">
      <c r="A449" s="228" t="s">
        <v>1572</v>
      </c>
      <c r="B449" s="5" t="s">
        <v>124</v>
      </c>
      <c r="C449" s="4" t="s">
        <v>95</v>
      </c>
      <c r="D449" s="5" t="s">
        <v>905</v>
      </c>
      <c r="E449" s="4" t="s">
        <v>815</v>
      </c>
      <c r="F449" s="4" t="s">
        <v>816</v>
      </c>
      <c r="G449" s="32">
        <v>43</v>
      </c>
      <c r="H449" s="32">
        <v>49</v>
      </c>
      <c r="I449" s="32">
        <v>39</v>
      </c>
      <c r="J449" s="5" t="s">
        <v>2902</v>
      </c>
      <c r="K449" s="51">
        <v>10</v>
      </c>
      <c r="L449" s="32">
        <v>34</v>
      </c>
      <c r="M449" s="32">
        <v>43</v>
      </c>
      <c r="N449" s="5" t="s">
        <v>2903</v>
      </c>
      <c r="O449" s="33">
        <v>12</v>
      </c>
      <c r="P449" s="26" t="s">
        <v>267</v>
      </c>
      <c r="Q449" s="27" t="s">
        <v>817</v>
      </c>
      <c r="R449" s="28" t="s">
        <v>2541</v>
      </c>
      <c r="S449" s="28"/>
      <c r="T449" s="28" t="s">
        <v>818</v>
      </c>
      <c r="U449" s="45">
        <f t="shared" si="19"/>
        <v>39.36</v>
      </c>
    </row>
    <row r="450" spans="1:23" x14ac:dyDescent="0.25">
      <c r="A450" s="228" t="s">
        <v>1573</v>
      </c>
      <c r="B450" s="37" t="s">
        <v>70</v>
      </c>
      <c r="C450" s="8" t="s">
        <v>95</v>
      </c>
      <c r="D450" s="37" t="s">
        <v>905</v>
      </c>
      <c r="E450" s="4" t="s">
        <v>2996</v>
      </c>
      <c r="F450" s="8" t="s">
        <v>800</v>
      </c>
      <c r="G450" s="38">
        <v>43</v>
      </c>
      <c r="H450" s="38">
        <v>52</v>
      </c>
      <c r="I450" s="38">
        <v>0</v>
      </c>
      <c r="J450" s="37" t="s">
        <v>2902</v>
      </c>
      <c r="K450" s="52">
        <v>10</v>
      </c>
      <c r="L450" s="38">
        <v>20</v>
      </c>
      <c r="M450" s="38">
        <v>0</v>
      </c>
      <c r="N450" s="37" t="s">
        <v>2903</v>
      </c>
      <c r="O450" s="27" t="s">
        <v>355</v>
      </c>
      <c r="P450" s="26" t="s">
        <v>232</v>
      </c>
      <c r="Q450" s="27" t="s">
        <v>356</v>
      </c>
      <c r="R450" s="28"/>
      <c r="S450" s="28"/>
      <c r="T450" s="28" t="s">
        <v>857</v>
      </c>
      <c r="U450" s="45">
        <f t="shared" si="19"/>
        <v>32.799999999999997</v>
      </c>
    </row>
    <row r="451" spans="1:23" x14ac:dyDescent="0.25">
      <c r="A451" s="228" t="s">
        <v>1574</v>
      </c>
      <c r="B451" s="5" t="s">
        <v>70</v>
      </c>
      <c r="C451" s="4" t="s">
        <v>95</v>
      </c>
      <c r="D451" s="5" t="s">
        <v>905</v>
      </c>
      <c r="E451" s="4" t="s">
        <v>801</v>
      </c>
      <c r="F451" s="4" t="s">
        <v>2036</v>
      </c>
      <c r="G451" s="32">
        <v>44</v>
      </c>
      <c r="H451" s="32">
        <v>7</v>
      </c>
      <c r="I451" s="32">
        <v>49</v>
      </c>
      <c r="J451" s="5" t="s">
        <v>2902</v>
      </c>
      <c r="K451" s="51">
        <v>10</v>
      </c>
      <c r="L451" s="32">
        <v>23</v>
      </c>
      <c r="M451" s="32">
        <v>39</v>
      </c>
      <c r="N451" s="5" t="s">
        <v>2903</v>
      </c>
      <c r="O451" s="33" t="s">
        <v>406</v>
      </c>
      <c r="P451" s="26" t="s">
        <v>528</v>
      </c>
      <c r="Q451" s="27" t="s">
        <v>469</v>
      </c>
      <c r="R451" s="28" t="s">
        <v>171</v>
      </c>
      <c r="S451" s="28"/>
      <c r="T451" s="28" t="s">
        <v>965</v>
      </c>
      <c r="U451" s="45">
        <f t="shared" si="19"/>
        <v>1476</v>
      </c>
    </row>
    <row r="452" spans="1:23" x14ac:dyDescent="0.25">
      <c r="A452" s="228" t="s">
        <v>1617</v>
      </c>
      <c r="B452" s="5" t="s">
        <v>124</v>
      </c>
      <c r="C452" s="4" t="s">
        <v>95</v>
      </c>
      <c r="D452" s="5" t="s">
        <v>906</v>
      </c>
      <c r="E452" s="4" t="s">
        <v>819</v>
      </c>
      <c r="F452" s="4" t="s">
        <v>820</v>
      </c>
      <c r="G452" s="32">
        <v>43</v>
      </c>
      <c r="H452" s="32">
        <v>59</v>
      </c>
      <c r="I452" s="32">
        <v>7</v>
      </c>
      <c r="J452" s="5" t="s">
        <v>2902</v>
      </c>
      <c r="K452" s="51">
        <v>10</v>
      </c>
      <c r="L452" s="32">
        <v>8</v>
      </c>
      <c r="M452" s="32">
        <v>35</v>
      </c>
      <c r="N452" s="5" t="s">
        <v>2903</v>
      </c>
      <c r="O452" s="33">
        <v>4</v>
      </c>
      <c r="P452" s="26" t="s">
        <v>279</v>
      </c>
      <c r="Q452" s="27" t="s">
        <v>821</v>
      </c>
      <c r="R452" s="28" t="s">
        <v>540</v>
      </c>
      <c r="S452" s="28"/>
      <c r="T452" s="28" t="s">
        <v>822</v>
      </c>
      <c r="U452" s="45">
        <f t="shared" si="19"/>
        <v>13.12</v>
      </c>
    </row>
    <row r="453" spans="1:23" x14ac:dyDescent="0.25">
      <c r="A453" s="228" t="s">
        <v>1680</v>
      </c>
      <c r="B453" s="5" t="s">
        <v>128</v>
      </c>
      <c r="C453" s="4" t="s">
        <v>95</v>
      </c>
      <c r="D453" s="5" t="s">
        <v>907</v>
      </c>
      <c r="E453" s="4" t="s">
        <v>837</v>
      </c>
      <c r="F453" s="4" t="s">
        <v>838</v>
      </c>
      <c r="G453" s="32">
        <v>43</v>
      </c>
      <c r="H453" s="32">
        <v>7</v>
      </c>
      <c r="I453" s="32">
        <v>0</v>
      </c>
      <c r="J453" s="5" t="s">
        <v>2902</v>
      </c>
      <c r="K453" s="51">
        <v>10</v>
      </c>
      <c r="L453" s="32">
        <v>44</v>
      </c>
      <c r="M453" s="32">
        <v>0</v>
      </c>
      <c r="N453" s="5" t="s">
        <v>2903</v>
      </c>
      <c r="O453" s="33">
        <v>260</v>
      </c>
      <c r="P453" s="26" t="s">
        <v>194</v>
      </c>
      <c r="Q453" s="27" t="s">
        <v>2885</v>
      </c>
      <c r="R453" s="28" t="s">
        <v>171</v>
      </c>
      <c r="S453" s="28"/>
      <c r="T453" s="28" t="s">
        <v>839</v>
      </c>
      <c r="U453" s="45">
        <f t="shared" si="19"/>
        <v>852.8</v>
      </c>
    </row>
    <row r="454" spans="1:23" x14ac:dyDescent="0.25">
      <c r="A454" s="228" t="s">
        <v>1681</v>
      </c>
      <c r="B454" s="37" t="s">
        <v>70</v>
      </c>
      <c r="C454" s="49" t="s">
        <v>95</v>
      </c>
      <c r="D454" s="144" t="s">
        <v>907</v>
      </c>
      <c r="E454" s="49" t="s">
        <v>2555</v>
      </c>
      <c r="F454" s="49" t="s">
        <v>2556</v>
      </c>
      <c r="G454" s="38">
        <v>43</v>
      </c>
      <c r="H454" s="38">
        <v>48</v>
      </c>
      <c r="I454" s="38">
        <v>52</v>
      </c>
      <c r="J454" s="37" t="s">
        <v>2902</v>
      </c>
      <c r="K454" s="52">
        <v>10</v>
      </c>
      <c r="L454" s="38">
        <v>20</v>
      </c>
      <c r="M454" s="38">
        <v>40</v>
      </c>
      <c r="N454" s="37" t="s">
        <v>2903</v>
      </c>
      <c r="O454" s="27"/>
      <c r="P454" s="26" t="s">
        <v>258</v>
      </c>
      <c r="Q454" s="27" t="s">
        <v>673</v>
      </c>
      <c r="R454" s="28" t="s">
        <v>461</v>
      </c>
      <c r="S454" s="28"/>
      <c r="T454" s="28" t="s">
        <v>2557</v>
      </c>
      <c r="U454" s="45" t="str">
        <f t="shared" si="19"/>
        <v/>
      </c>
    </row>
    <row r="455" spans="1:23" x14ac:dyDescent="0.25">
      <c r="A455" s="228" t="s">
        <v>1683</v>
      </c>
      <c r="B455" s="5" t="s">
        <v>124</v>
      </c>
      <c r="C455" s="4" t="s">
        <v>95</v>
      </c>
      <c r="D455" s="5" t="s">
        <v>907</v>
      </c>
      <c r="E455" s="4" t="s">
        <v>823</v>
      </c>
      <c r="F455" s="4" t="s">
        <v>824</v>
      </c>
      <c r="G455" s="32">
        <v>43</v>
      </c>
      <c r="H455" s="32">
        <v>40</v>
      </c>
      <c r="I455" s="32">
        <v>59</v>
      </c>
      <c r="J455" s="5" t="s">
        <v>2902</v>
      </c>
      <c r="K455" s="51">
        <v>10</v>
      </c>
      <c r="L455" s="32">
        <v>2</v>
      </c>
      <c r="M455" s="32">
        <v>40</v>
      </c>
      <c r="N455" s="5" t="s">
        <v>2903</v>
      </c>
      <c r="O455" s="33">
        <v>3</v>
      </c>
      <c r="P455" s="26" t="s">
        <v>194</v>
      </c>
      <c r="Q455" s="27" t="s">
        <v>2883</v>
      </c>
      <c r="R455" s="28" t="s">
        <v>2561</v>
      </c>
      <c r="S455" s="28"/>
      <c r="T455" s="28" t="s">
        <v>825</v>
      </c>
      <c r="U455" s="45">
        <f t="shared" si="19"/>
        <v>9.84</v>
      </c>
    </row>
    <row r="456" spans="1:23" x14ac:dyDescent="0.25">
      <c r="A456" s="228" t="s">
        <v>1684</v>
      </c>
      <c r="B456" s="37" t="s">
        <v>70</v>
      </c>
      <c r="C456" s="49" t="s">
        <v>95</v>
      </c>
      <c r="D456" s="144" t="s">
        <v>907</v>
      </c>
      <c r="E456" s="49" t="s">
        <v>823</v>
      </c>
      <c r="F456" s="49" t="s">
        <v>2558</v>
      </c>
      <c r="G456" s="38">
        <v>43</v>
      </c>
      <c r="H456" s="38">
        <v>44</v>
      </c>
      <c r="I456" s="38">
        <v>41</v>
      </c>
      <c r="J456" s="37" t="s">
        <v>2902</v>
      </c>
      <c r="K456" s="52">
        <v>10</v>
      </c>
      <c r="L456" s="38">
        <v>24</v>
      </c>
      <c r="M456" s="38">
        <v>13</v>
      </c>
      <c r="N456" s="37" t="s">
        <v>2903</v>
      </c>
      <c r="O456" s="27"/>
      <c r="P456" s="26" t="s">
        <v>187</v>
      </c>
      <c r="Q456" s="27" t="s">
        <v>1980</v>
      </c>
      <c r="R456" s="28" t="s">
        <v>2551</v>
      </c>
      <c r="S456" s="28"/>
      <c r="T456" s="28" t="s">
        <v>2559</v>
      </c>
      <c r="U456" s="45" t="str">
        <f t="shared" si="19"/>
        <v/>
      </c>
    </row>
    <row r="457" spans="1:23" x14ac:dyDescent="0.25">
      <c r="A457" s="228" t="s">
        <v>1685</v>
      </c>
      <c r="B457" s="267" t="s">
        <v>124</v>
      </c>
      <c r="C457" s="268" t="s">
        <v>95</v>
      </c>
      <c r="D457" s="267" t="s">
        <v>907</v>
      </c>
      <c r="E457" s="268" t="s">
        <v>1042</v>
      </c>
      <c r="F457" s="268" t="s">
        <v>1218</v>
      </c>
      <c r="G457" s="269">
        <v>43</v>
      </c>
      <c r="H457" s="269">
        <v>39</v>
      </c>
      <c r="I457" s="269">
        <v>28</v>
      </c>
      <c r="J457" s="270" t="s">
        <v>2902</v>
      </c>
      <c r="K457" s="271">
        <v>10</v>
      </c>
      <c r="L457" s="269">
        <v>37</v>
      </c>
      <c r="M457" s="269">
        <v>3</v>
      </c>
      <c r="N457" s="267" t="s">
        <v>2903</v>
      </c>
      <c r="O457" s="272"/>
      <c r="P457" s="260" t="s">
        <v>251</v>
      </c>
      <c r="Q457" s="261" t="s">
        <v>1219</v>
      </c>
      <c r="R457" s="262"/>
      <c r="S457" s="263"/>
      <c r="T457" s="263"/>
      <c r="U457" s="264"/>
      <c r="V457" s="259"/>
      <c r="W457" s="259"/>
    </row>
    <row r="458" spans="1:23" s="247" customFormat="1" x14ac:dyDescent="0.25">
      <c r="A458" s="228" t="s">
        <v>1686</v>
      </c>
      <c r="B458" s="5" t="s">
        <v>128</v>
      </c>
      <c r="C458" s="4" t="s">
        <v>95</v>
      </c>
      <c r="D458" s="5" t="s">
        <v>907</v>
      </c>
      <c r="E458" s="4" t="s">
        <v>794</v>
      </c>
      <c r="F458" s="4" t="s">
        <v>2035</v>
      </c>
      <c r="G458" s="32">
        <v>43</v>
      </c>
      <c r="H458" s="32">
        <v>33</v>
      </c>
      <c r="I458" s="32">
        <v>30</v>
      </c>
      <c r="J458" s="5" t="s">
        <v>2902</v>
      </c>
      <c r="K458" s="51">
        <v>10</v>
      </c>
      <c r="L458" s="32">
        <v>45</v>
      </c>
      <c r="M458" s="32">
        <v>20</v>
      </c>
      <c r="N458" s="5" t="s">
        <v>2903</v>
      </c>
      <c r="O458" s="33" t="s">
        <v>363</v>
      </c>
      <c r="P458" s="26" t="s">
        <v>364</v>
      </c>
      <c r="Q458" s="27" t="s">
        <v>365</v>
      </c>
      <c r="R458" s="28"/>
      <c r="S458" s="28"/>
      <c r="T458" s="28" t="s">
        <v>366</v>
      </c>
      <c r="U458" s="45">
        <f t="shared" ref="U458:U505" si="20">IF(O458&lt;&gt;"",O458*3.28,"")</f>
        <v>190.23999999999998</v>
      </c>
      <c r="V458" s="8"/>
      <c r="W458" s="8"/>
    </row>
    <row r="459" spans="1:23" x14ac:dyDescent="0.25">
      <c r="A459" s="228" t="s">
        <v>1687</v>
      </c>
      <c r="B459" s="5" t="s">
        <v>70</v>
      </c>
      <c r="C459" s="8" t="s">
        <v>95</v>
      </c>
      <c r="D459" s="5" t="s">
        <v>907</v>
      </c>
      <c r="E459" s="4" t="s">
        <v>361</v>
      </c>
      <c r="F459" s="4" t="s">
        <v>802</v>
      </c>
      <c r="G459" s="32">
        <v>43</v>
      </c>
      <c r="H459" s="32">
        <v>45</v>
      </c>
      <c r="I459" s="32">
        <v>43</v>
      </c>
      <c r="J459" s="5" t="s">
        <v>2902</v>
      </c>
      <c r="K459" s="51">
        <v>10</v>
      </c>
      <c r="L459" s="32">
        <v>24</v>
      </c>
      <c r="M459" s="32">
        <v>48</v>
      </c>
      <c r="N459" s="37" t="s">
        <v>2903</v>
      </c>
      <c r="O459" s="33" t="s">
        <v>302</v>
      </c>
      <c r="P459" s="26" t="s">
        <v>225</v>
      </c>
      <c r="Q459" s="27" t="s">
        <v>362</v>
      </c>
      <c r="R459" s="28" t="s">
        <v>2551</v>
      </c>
      <c r="S459" s="28"/>
      <c r="T459" s="28" t="s">
        <v>2111</v>
      </c>
      <c r="U459" s="45">
        <f t="shared" si="20"/>
        <v>3.28</v>
      </c>
    </row>
    <row r="460" spans="1:23" x14ac:dyDescent="0.25">
      <c r="A460" s="228" t="s">
        <v>1688</v>
      </c>
      <c r="B460" s="5" t="s">
        <v>128</v>
      </c>
      <c r="C460" s="4" t="s">
        <v>95</v>
      </c>
      <c r="D460" s="5" t="s">
        <v>907</v>
      </c>
      <c r="E460" s="4" t="s">
        <v>792</v>
      </c>
      <c r="F460" s="4" t="s">
        <v>793</v>
      </c>
      <c r="G460" s="32">
        <v>43</v>
      </c>
      <c r="H460" s="32">
        <v>35</v>
      </c>
      <c r="I460" s="32">
        <v>28</v>
      </c>
      <c r="J460" s="5" t="s">
        <v>2902</v>
      </c>
      <c r="K460" s="51">
        <v>10</v>
      </c>
      <c r="L460" s="32">
        <v>41</v>
      </c>
      <c r="M460" s="32">
        <v>45</v>
      </c>
      <c r="N460" s="5" t="s">
        <v>2903</v>
      </c>
      <c r="O460" s="33" t="s">
        <v>257</v>
      </c>
      <c r="P460" s="26" t="s">
        <v>258</v>
      </c>
      <c r="Q460" s="27" t="s">
        <v>259</v>
      </c>
      <c r="R460" s="28"/>
      <c r="S460" s="28"/>
      <c r="T460" s="28" t="s">
        <v>860</v>
      </c>
      <c r="U460" s="45">
        <f t="shared" si="20"/>
        <v>196.79999999999998</v>
      </c>
    </row>
    <row r="461" spans="1:23" x14ac:dyDescent="0.25">
      <c r="A461" s="228" t="s">
        <v>1701</v>
      </c>
      <c r="B461" s="37" t="s">
        <v>128</v>
      </c>
      <c r="C461" s="8" t="s">
        <v>95</v>
      </c>
      <c r="D461" s="37" t="s">
        <v>908</v>
      </c>
      <c r="E461" s="8" t="s">
        <v>3060</v>
      </c>
      <c r="F461" s="8" t="s">
        <v>3061</v>
      </c>
      <c r="G461" s="38">
        <v>43</v>
      </c>
      <c r="H461" s="38">
        <v>52</v>
      </c>
      <c r="I461" s="38">
        <v>18</v>
      </c>
      <c r="J461" s="37" t="s">
        <v>2902</v>
      </c>
      <c r="K461" s="52">
        <v>10</v>
      </c>
      <c r="L461" s="38">
        <v>56</v>
      </c>
      <c r="M461" s="38">
        <v>41</v>
      </c>
      <c r="N461" s="37" t="s">
        <v>2903</v>
      </c>
      <c r="O461" s="27" t="s">
        <v>345</v>
      </c>
      <c r="P461" s="26" t="s">
        <v>277</v>
      </c>
      <c r="Q461" s="27" t="s">
        <v>347</v>
      </c>
      <c r="R461" s="28"/>
      <c r="S461" s="28"/>
      <c r="T461" s="28" t="s">
        <v>2208</v>
      </c>
      <c r="U461" s="45">
        <f t="shared" si="20"/>
        <v>131.19999999999999</v>
      </c>
    </row>
    <row r="462" spans="1:23" x14ac:dyDescent="0.25">
      <c r="A462" s="228" t="s">
        <v>1770</v>
      </c>
      <c r="B462" s="5" t="s">
        <v>128</v>
      </c>
      <c r="C462" s="4" t="s">
        <v>95</v>
      </c>
      <c r="D462" s="5" t="s">
        <v>909</v>
      </c>
      <c r="E462" s="4" t="s">
        <v>13</v>
      </c>
      <c r="F462" s="4" t="s">
        <v>14</v>
      </c>
      <c r="G462" s="32">
        <v>43</v>
      </c>
      <c r="H462" s="32">
        <v>22</v>
      </c>
      <c r="I462" s="32">
        <v>11</v>
      </c>
      <c r="J462" s="5" t="s">
        <v>2902</v>
      </c>
      <c r="K462" s="51">
        <v>11</v>
      </c>
      <c r="L462" s="32">
        <v>7</v>
      </c>
      <c r="M462" s="32">
        <v>30</v>
      </c>
      <c r="N462" s="5" t="s">
        <v>2903</v>
      </c>
      <c r="O462" s="33" t="s">
        <v>367</v>
      </c>
      <c r="P462" s="26" t="s">
        <v>251</v>
      </c>
      <c r="Q462" s="27" t="s">
        <v>134</v>
      </c>
      <c r="R462" s="28"/>
      <c r="S462" s="28"/>
      <c r="T462" s="28" t="s">
        <v>2110</v>
      </c>
      <c r="U462" s="45">
        <f t="shared" si="20"/>
        <v>705.19999999999993</v>
      </c>
    </row>
    <row r="463" spans="1:23" x14ac:dyDescent="0.25">
      <c r="A463" s="228" t="s">
        <v>1771</v>
      </c>
      <c r="B463" s="37" t="s">
        <v>124</v>
      </c>
      <c r="C463" s="8" t="s">
        <v>95</v>
      </c>
      <c r="D463" s="37" t="s">
        <v>909</v>
      </c>
      <c r="E463" s="8" t="s">
        <v>826</v>
      </c>
      <c r="F463" s="8" t="s">
        <v>827</v>
      </c>
      <c r="G463" s="38">
        <v>43</v>
      </c>
      <c r="H463" s="38">
        <v>15</v>
      </c>
      <c r="I463" s="38">
        <v>29</v>
      </c>
      <c r="J463" s="37" t="s">
        <v>2902</v>
      </c>
      <c r="K463" s="52">
        <v>11</v>
      </c>
      <c r="L463" s="38">
        <v>15</v>
      </c>
      <c r="M463" s="38">
        <v>20</v>
      </c>
      <c r="N463" s="37" t="s">
        <v>2903</v>
      </c>
      <c r="O463" s="27">
        <v>190</v>
      </c>
      <c r="P463" s="26" t="s">
        <v>206</v>
      </c>
      <c r="Q463" s="27" t="s">
        <v>2884</v>
      </c>
      <c r="R463" s="28" t="s">
        <v>485</v>
      </c>
      <c r="S463" s="28"/>
      <c r="T463" s="28" t="s">
        <v>828</v>
      </c>
      <c r="U463" s="45">
        <f t="shared" si="20"/>
        <v>623.19999999999993</v>
      </c>
    </row>
    <row r="464" spans="1:23" x14ac:dyDescent="0.25">
      <c r="A464" s="228" t="s">
        <v>1772</v>
      </c>
      <c r="B464" s="5" t="s">
        <v>128</v>
      </c>
      <c r="C464" s="4" t="s">
        <v>95</v>
      </c>
      <c r="D464" s="5" t="s">
        <v>909</v>
      </c>
      <c r="E464" s="4" t="s">
        <v>15</v>
      </c>
      <c r="F464" s="4" t="s">
        <v>16</v>
      </c>
      <c r="G464" s="32">
        <v>43</v>
      </c>
      <c r="H464" s="32">
        <v>13</v>
      </c>
      <c r="I464" s="32">
        <v>0</v>
      </c>
      <c r="J464" s="5" t="s">
        <v>2902</v>
      </c>
      <c r="K464" s="51">
        <v>11</v>
      </c>
      <c r="L464" s="32">
        <v>49</v>
      </c>
      <c r="M464" s="32">
        <v>0</v>
      </c>
      <c r="N464" s="5" t="s">
        <v>2903</v>
      </c>
      <c r="O464" s="33" t="s">
        <v>348</v>
      </c>
      <c r="P464" s="26" t="s">
        <v>349</v>
      </c>
      <c r="Q464" s="27" t="s">
        <v>350</v>
      </c>
      <c r="R464" s="28" t="s">
        <v>171</v>
      </c>
      <c r="S464" s="28"/>
      <c r="T464" s="28" t="s">
        <v>351</v>
      </c>
      <c r="U464" s="45">
        <f t="shared" si="20"/>
        <v>803.59999999999991</v>
      </c>
    </row>
    <row r="465" spans="1:23" x14ac:dyDescent="0.25">
      <c r="A465" s="228" t="s">
        <v>1434</v>
      </c>
      <c r="B465" s="5" t="s">
        <v>124</v>
      </c>
      <c r="C465" s="4" t="s">
        <v>100</v>
      </c>
      <c r="D465" s="5" t="s">
        <v>910</v>
      </c>
      <c r="E465" s="4" t="s">
        <v>1060</v>
      </c>
      <c r="F465" s="4" t="s">
        <v>1062</v>
      </c>
      <c r="G465" s="32">
        <v>46</v>
      </c>
      <c r="H465" s="32">
        <v>27</v>
      </c>
      <c r="I465" s="32">
        <v>37</v>
      </c>
      <c r="J465" s="5" t="s">
        <v>2902</v>
      </c>
      <c r="K465" s="51">
        <v>11</v>
      </c>
      <c r="L465" s="32">
        <v>19</v>
      </c>
      <c r="M465" s="32">
        <v>36</v>
      </c>
      <c r="N465" s="5" t="s">
        <v>2903</v>
      </c>
      <c r="O465" s="33">
        <v>239</v>
      </c>
      <c r="P465" s="26" t="s">
        <v>187</v>
      </c>
      <c r="Q465" s="27" t="s">
        <v>663</v>
      </c>
      <c r="R465" s="28" t="s">
        <v>2797</v>
      </c>
      <c r="S465" s="28"/>
      <c r="T465" s="28" t="s">
        <v>1064</v>
      </c>
      <c r="U465" s="45">
        <f t="shared" si="20"/>
        <v>783.92</v>
      </c>
    </row>
    <row r="466" spans="1:23" x14ac:dyDescent="0.25">
      <c r="A466" s="228" t="s">
        <v>1328</v>
      </c>
      <c r="B466" s="5" t="s">
        <v>128</v>
      </c>
      <c r="C466" s="4" t="s">
        <v>100</v>
      </c>
      <c r="D466" s="5" t="s">
        <v>910</v>
      </c>
      <c r="E466" s="4" t="s">
        <v>1327</v>
      </c>
      <c r="F466" s="224" t="s">
        <v>1327</v>
      </c>
      <c r="G466" s="32">
        <v>46</v>
      </c>
      <c r="H466" s="32">
        <v>45</v>
      </c>
      <c r="I466" s="32">
        <v>54</v>
      </c>
      <c r="J466" s="5" t="s">
        <v>2902</v>
      </c>
      <c r="K466" s="51">
        <v>12</v>
      </c>
      <c r="L466" s="32">
        <v>9</v>
      </c>
      <c r="M466" s="32">
        <v>42</v>
      </c>
      <c r="N466" s="5" t="s">
        <v>2903</v>
      </c>
      <c r="O466" s="33"/>
      <c r="P466" s="26" t="s">
        <v>204</v>
      </c>
      <c r="Q466" s="27" t="s">
        <v>1329</v>
      </c>
      <c r="R466" s="28" t="s">
        <v>1330</v>
      </c>
      <c r="S466" s="28"/>
      <c r="T466" s="28" t="s">
        <v>1331</v>
      </c>
      <c r="U466" s="45"/>
    </row>
    <row r="467" spans="1:23" x14ac:dyDescent="0.25">
      <c r="A467" s="228" t="s">
        <v>1796</v>
      </c>
      <c r="B467" s="37" t="s">
        <v>70</v>
      </c>
      <c r="C467" s="8" t="s">
        <v>100</v>
      </c>
      <c r="D467" s="37" t="s">
        <v>911</v>
      </c>
      <c r="E467" s="8" t="s">
        <v>1056</v>
      </c>
      <c r="F467" s="8" t="s">
        <v>1057</v>
      </c>
      <c r="G467" s="38">
        <v>46</v>
      </c>
      <c r="H467" s="38">
        <v>0</v>
      </c>
      <c r="I467" s="38">
        <v>0</v>
      </c>
      <c r="J467" s="37" t="s">
        <v>2902</v>
      </c>
      <c r="K467" s="52">
        <v>11</v>
      </c>
      <c r="L467" s="38">
        <v>19</v>
      </c>
      <c r="M467" s="38">
        <v>0</v>
      </c>
      <c r="N467" s="37" t="s">
        <v>2903</v>
      </c>
      <c r="O467" s="27"/>
      <c r="P467" s="26"/>
      <c r="Q467" s="27" t="s">
        <v>1058</v>
      </c>
      <c r="R467" s="28"/>
      <c r="S467" s="28"/>
      <c r="T467" s="28" t="s">
        <v>1059</v>
      </c>
      <c r="U467" s="45" t="str">
        <f t="shared" si="20"/>
        <v/>
      </c>
    </row>
    <row r="468" spans="1:23" x14ac:dyDescent="0.25">
      <c r="A468" s="228" t="s">
        <v>1797</v>
      </c>
      <c r="B468" s="37" t="s">
        <v>70</v>
      </c>
      <c r="C468" s="8" t="s">
        <v>100</v>
      </c>
      <c r="D468" s="37" t="s">
        <v>911</v>
      </c>
      <c r="E468" s="8" t="s">
        <v>35</v>
      </c>
      <c r="F468" s="8" t="s">
        <v>1055</v>
      </c>
      <c r="G468" s="38">
        <v>46</v>
      </c>
      <c r="H468" s="38">
        <v>16</v>
      </c>
      <c r="I468" s="38">
        <v>0</v>
      </c>
      <c r="J468" s="37" t="s">
        <v>2902</v>
      </c>
      <c r="K468" s="52">
        <v>11</v>
      </c>
      <c r="L468" s="38">
        <v>2</v>
      </c>
      <c r="M468" s="38">
        <v>25</v>
      </c>
      <c r="N468" s="37" t="s">
        <v>2903</v>
      </c>
      <c r="O468" s="27" t="s">
        <v>483</v>
      </c>
      <c r="P468" s="26" t="s">
        <v>238</v>
      </c>
      <c r="Q468" s="27" t="s">
        <v>371</v>
      </c>
      <c r="R468" s="28"/>
      <c r="S468" s="28"/>
      <c r="T468" s="28" t="s">
        <v>2210</v>
      </c>
      <c r="U468" s="45">
        <f t="shared" si="20"/>
        <v>2230.4</v>
      </c>
    </row>
    <row r="469" spans="1:23" x14ac:dyDescent="0.25">
      <c r="A469" s="228" t="s">
        <v>1798</v>
      </c>
      <c r="B469" s="5" t="s">
        <v>124</v>
      </c>
      <c r="C469" s="4" t="s">
        <v>100</v>
      </c>
      <c r="D469" s="5" t="s">
        <v>911</v>
      </c>
      <c r="E469" s="4" t="s">
        <v>1061</v>
      </c>
      <c r="F469" s="4" t="s">
        <v>1063</v>
      </c>
      <c r="G469" s="32">
        <v>46</v>
      </c>
      <c r="H469" s="32">
        <v>1</v>
      </c>
      <c r="I469" s="32">
        <v>17</v>
      </c>
      <c r="J469" s="5" t="s">
        <v>2902</v>
      </c>
      <c r="K469" s="51">
        <v>11</v>
      </c>
      <c r="L469" s="32">
        <v>7</v>
      </c>
      <c r="M469" s="32">
        <v>33</v>
      </c>
      <c r="N469" s="5" t="s">
        <v>2903</v>
      </c>
      <c r="O469" s="33">
        <v>185</v>
      </c>
      <c r="P469" s="26" t="s">
        <v>206</v>
      </c>
      <c r="Q469" s="27" t="s">
        <v>1066</v>
      </c>
      <c r="R469" s="28" t="s">
        <v>601</v>
      </c>
      <c r="S469" s="28"/>
      <c r="T469" s="28" t="s">
        <v>1065</v>
      </c>
      <c r="U469" s="45">
        <f t="shared" si="20"/>
        <v>606.79999999999995</v>
      </c>
    </row>
    <row r="470" spans="1:23" x14ac:dyDescent="0.25">
      <c r="A470" s="228" t="s">
        <v>1661</v>
      </c>
      <c r="B470" s="5" t="s">
        <v>128</v>
      </c>
      <c r="C470" s="8" t="s">
        <v>108</v>
      </c>
      <c r="D470" s="5" t="s">
        <v>912</v>
      </c>
      <c r="E470" s="4" t="s">
        <v>682</v>
      </c>
      <c r="F470" s="4" t="s">
        <v>2037</v>
      </c>
      <c r="G470" s="32">
        <v>42</v>
      </c>
      <c r="H470" s="32">
        <v>45</v>
      </c>
      <c r="I470" s="32">
        <v>0</v>
      </c>
      <c r="J470" s="5" t="s">
        <v>2902</v>
      </c>
      <c r="K470" s="51">
        <v>13</v>
      </c>
      <c r="L470" s="32">
        <v>1</v>
      </c>
      <c r="M470" s="32">
        <v>0</v>
      </c>
      <c r="N470" s="37" t="s">
        <v>2903</v>
      </c>
      <c r="O470" s="33" t="s">
        <v>683</v>
      </c>
      <c r="P470" s="26" t="s">
        <v>275</v>
      </c>
      <c r="Q470" s="27" t="s">
        <v>684</v>
      </c>
      <c r="R470" s="28" t="s">
        <v>171</v>
      </c>
      <c r="S470" s="28"/>
      <c r="T470" s="28" t="s">
        <v>1002</v>
      </c>
      <c r="U470" s="45">
        <f t="shared" si="20"/>
        <v>2788</v>
      </c>
    </row>
    <row r="471" spans="1:23" x14ac:dyDescent="0.25">
      <c r="A471" s="228" t="s">
        <v>1662</v>
      </c>
      <c r="B471" s="5" t="s">
        <v>70</v>
      </c>
      <c r="C471" s="4" t="s">
        <v>108</v>
      </c>
      <c r="D471" s="5" t="s">
        <v>912</v>
      </c>
      <c r="E471" s="4" t="s">
        <v>979</v>
      </c>
      <c r="F471" s="4" t="s">
        <v>980</v>
      </c>
      <c r="G471" s="32">
        <v>42</v>
      </c>
      <c r="H471" s="32">
        <v>49</v>
      </c>
      <c r="I471" s="32">
        <v>45</v>
      </c>
      <c r="J471" s="5" t="s">
        <v>2902</v>
      </c>
      <c r="K471" s="51">
        <v>12</v>
      </c>
      <c r="L471" s="32">
        <v>41</v>
      </c>
      <c r="M471" s="32">
        <v>8</v>
      </c>
      <c r="N471" s="5" t="s">
        <v>2903</v>
      </c>
      <c r="O471" s="33">
        <v>250</v>
      </c>
      <c r="P471" s="26" t="s">
        <v>238</v>
      </c>
      <c r="Q471" s="27" t="s">
        <v>259</v>
      </c>
      <c r="R471" s="28" t="s">
        <v>2752</v>
      </c>
      <c r="S471" s="28"/>
      <c r="T471" s="28" t="s">
        <v>981</v>
      </c>
      <c r="U471" s="45">
        <f t="shared" si="20"/>
        <v>820</v>
      </c>
    </row>
    <row r="472" spans="1:23" x14ac:dyDescent="0.25">
      <c r="A472" s="228" t="s">
        <v>1663</v>
      </c>
      <c r="B472" s="43" t="s">
        <v>128</v>
      </c>
      <c r="C472" s="41" t="s">
        <v>108</v>
      </c>
      <c r="D472" s="43" t="s">
        <v>912</v>
      </c>
      <c r="E472" s="41" t="s">
        <v>3047</v>
      </c>
      <c r="F472" s="41" t="s">
        <v>162</v>
      </c>
      <c r="G472" s="42">
        <v>43</v>
      </c>
      <c r="H472" s="42">
        <v>7</v>
      </c>
      <c r="I472" s="42">
        <v>59</v>
      </c>
      <c r="J472" s="60" t="s">
        <v>2902</v>
      </c>
      <c r="K472" s="56">
        <v>12</v>
      </c>
      <c r="L472" s="42">
        <v>2</v>
      </c>
      <c r="M472" s="42">
        <v>15</v>
      </c>
      <c r="N472" s="60" t="s">
        <v>2903</v>
      </c>
      <c r="O472" s="40">
        <v>200</v>
      </c>
      <c r="P472" s="26" t="s">
        <v>214</v>
      </c>
      <c r="Q472" s="27" t="s">
        <v>163</v>
      </c>
      <c r="R472" s="28" t="s">
        <v>171</v>
      </c>
      <c r="S472" s="28"/>
      <c r="T472" s="28" t="s">
        <v>164</v>
      </c>
      <c r="U472" s="45">
        <f t="shared" si="20"/>
        <v>656</v>
      </c>
    </row>
    <row r="473" spans="1:23" x14ac:dyDescent="0.25">
      <c r="A473" s="228" t="s">
        <v>1664</v>
      </c>
      <c r="B473" s="37" t="s">
        <v>70</v>
      </c>
      <c r="C473" s="8" t="s">
        <v>108</v>
      </c>
      <c r="D473" s="37" t="s">
        <v>912</v>
      </c>
      <c r="E473" s="8" t="s">
        <v>3047</v>
      </c>
      <c r="F473" s="8" t="s">
        <v>370</v>
      </c>
      <c r="G473" s="38">
        <v>43</v>
      </c>
      <c r="H473" s="38">
        <v>7</v>
      </c>
      <c r="I473" s="38">
        <v>35</v>
      </c>
      <c r="J473" s="37" t="s">
        <v>2902</v>
      </c>
      <c r="K473" s="52">
        <v>11</v>
      </c>
      <c r="L473" s="38">
        <v>55</v>
      </c>
      <c r="M473" s="38">
        <v>10</v>
      </c>
      <c r="N473" s="37" t="s">
        <v>2903</v>
      </c>
      <c r="O473" s="27" t="s">
        <v>221</v>
      </c>
      <c r="P473" s="26" t="s">
        <v>206</v>
      </c>
      <c r="Q473" s="27" t="s">
        <v>241</v>
      </c>
      <c r="R473" s="28"/>
      <c r="S473" s="28"/>
      <c r="T473" s="28" t="s">
        <v>164</v>
      </c>
      <c r="U473" s="45">
        <f t="shared" si="20"/>
        <v>820</v>
      </c>
    </row>
    <row r="474" spans="1:23" x14ac:dyDescent="0.25">
      <c r="A474" s="228" t="s">
        <v>1665</v>
      </c>
      <c r="B474" s="5" t="s">
        <v>70</v>
      </c>
      <c r="C474" s="4" t="s">
        <v>108</v>
      </c>
      <c r="D474" s="5" t="s">
        <v>912</v>
      </c>
      <c r="E474" s="4" t="s">
        <v>3048</v>
      </c>
      <c r="F474" s="4" t="s">
        <v>970</v>
      </c>
      <c r="G474" s="32">
        <v>43</v>
      </c>
      <c r="H474" s="32">
        <v>29</v>
      </c>
      <c r="I474" s="32">
        <v>35</v>
      </c>
      <c r="J474" s="5" t="s">
        <v>2902</v>
      </c>
      <c r="K474" s="51">
        <v>12</v>
      </c>
      <c r="L474" s="32">
        <v>14</v>
      </c>
      <c r="M474" s="32">
        <v>35</v>
      </c>
      <c r="N474" s="5" t="s">
        <v>2903</v>
      </c>
      <c r="O474" s="33" t="s">
        <v>374</v>
      </c>
      <c r="P474" s="26" t="s">
        <v>238</v>
      </c>
      <c r="Q474" s="27" t="s">
        <v>192</v>
      </c>
      <c r="R474" s="28" t="s">
        <v>375</v>
      </c>
      <c r="S474" s="28"/>
      <c r="T474" s="28" t="s">
        <v>1004</v>
      </c>
      <c r="U474" s="45">
        <f t="shared" si="20"/>
        <v>1033.2</v>
      </c>
    </row>
    <row r="475" spans="1:23" x14ac:dyDescent="0.25">
      <c r="A475" s="228" t="s">
        <v>1666</v>
      </c>
      <c r="B475" s="5" t="s">
        <v>70</v>
      </c>
      <c r="C475" s="4" t="s">
        <v>108</v>
      </c>
      <c r="D475" s="5" t="s">
        <v>912</v>
      </c>
      <c r="E475" s="4" t="s">
        <v>3048</v>
      </c>
      <c r="F475" s="4" t="s">
        <v>982</v>
      </c>
      <c r="G475" s="32">
        <v>43</v>
      </c>
      <c r="H475" s="32">
        <v>21</v>
      </c>
      <c r="I475" s="32">
        <v>21</v>
      </c>
      <c r="J475" s="5" t="s">
        <v>2902</v>
      </c>
      <c r="K475" s="51">
        <v>12</v>
      </c>
      <c r="L475" s="32">
        <v>11</v>
      </c>
      <c r="M475" s="32">
        <v>35</v>
      </c>
      <c r="N475" s="5" t="s">
        <v>2903</v>
      </c>
      <c r="O475" s="33">
        <v>350</v>
      </c>
      <c r="P475" s="26" t="s">
        <v>232</v>
      </c>
      <c r="Q475" s="27" t="s">
        <v>983</v>
      </c>
      <c r="R475" s="28"/>
      <c r="S475" s="28"/>
      <c r="T475" s="28" t="s">
        <v>984</v>
      </c>
      <c r="U475" s="45">
        <f t="shared" si="20"/>
        <v>1148</v>
      </c>
    </row>
    <row r="476" spans="1:23" s="247" customFormat="1" x14ac:dyDescent="0.25">
      <c r="A476" s="228" t="s">
        <v>1667</v>
      </c>
      <c r="B476" s="37" t="s">
        <v>128</v>
      </c>
      <c r="C476" s="8" t="s">
        <v>108</v>
      </c>
      <c r="D476" s="37" t="s">
        <v>912</v>
      </c>
      <c r="E476" s="41" t="s">
        <v>3048</v>
      </c>
      <c r="F476" s="8" t="s">
        <v>2038</v>
      </c>
      <c r="G476" s="38">
        <v>43</v>
      </c>
      <c r="H476" s="38">
        <v>21</v>
      </c>
      <c r="I476" s="38">
        <v>5</v>
      </c>
      <c r="J476" s="37" t="s">
        <v>2902</v>
      </c>
      <c r="K476" s="52">
        <v>12</v>
      </c>
      <c r="L476" s="38">
        <v>12</v>
      </c>
      <c r="M476" s="38">
        <v>53</v>
      </c>
      <c r="N476" s="37" t="s">
        <v>2903</v>
      </c>
      <c r="O476" s="27" t="s">
        <v>380</v>
      </c>
      <c r="P476" s="26" t="s">
        <v>194</v>
      </c>
      <c r="Q476" s="27" t="s">
        <v>158</v>
      </c>
      <c r="R476" s="28" t="s">
        <v>171</v>
      </c>
      <c r="S476" s="28"/>
      <c r="T476" s="28" t="s">
        <v>159</v>
      </c>
      <c r="U476" s="45">
        <f t="shared" si="20"/>
        <v>983.99999999999989</v>
      </c>
      <c r="V476" s="8"/>
      <c r="W476" s="8"/>
    </row>
    <row r="477" spans="1:23" x14ac:dyDescent="0.25">
      <c r="A477" s="228" t="s">
        <v>1668</v>
      </c>
      <c r="B477" s="37" t="s">
        <v>70</v>
      </c>
      <c r="C477" s="8" t="s">
        <v>108</v>
      </c>
      <c r="D477" s="37" t="s">
        <v>912</v>
      </c>
      <c r="E477" s="8" t="s">
        <v>3049</v>
      </c>
      <c r="F477" s="41" t="s">
        <v>165</v>
      </c>
      <c r="G477" s="38">
        <v>43</v>
      </c>
      <c r="H477" s="38">
        <v>0</v>
      </c>
      <c r="I477" s="38">
        <v>37</v>
      </c>
      <c r="J477" s="37" t="s">
        <v>2902</v>
      </c>
      <c r="K477" s="52">
        <v>12</v>
      </c>
      <c r="L477" s="38">
        <v>24</v>
      </c>
      <c r="M477" s="38">
        <v>0</v>
      </c>
      <c r="N477" s="37" t="s">
        <v>2903</v>
      </c>
      <c r="O477" s="27">
        <v>100</v>
      </c>
      <c r="P477" s="26" t="s">
        <v>277</v>
      </c>
      <c r="Q477" s="27" t="s">
        <v>604</v>
      </c>
      <c r="R477" s="28"/>
      <c r="S477" s="28"/>
      <c r="T477" s="28" t="s">
        <v>1007</v>
      </c>
      <c r="U477" s="45">
        <f t="shared" si="20"/>
        <v>328</v>
      </c>
    </row>
    <row r="478" spans="1:23" x14ac:dyDescent="0.25">
      <c r="A478" s="228" t="s">
        <v>1669</v>
      </c>
      <c r="B478" s="5" t="s">
        <v>124</v>
      </c>
      <c r="C478" s="4" t="s">
        <v>108</v>
      </c>
      <c r="D478" s="5" t="s">
        <v>912</v>
      </c>
      <c r="E478" s="4" t="s">
        <v>966</v>
      </c>
      <c r="F478" s="41" t="s">
        <v>967</v>
      </c>
      <c r="G478" s="32">
        <v>42</v>
      </c>
      <c r="H478" s="32">
        <v>55</v>
      </c>
      <c r="I478" s="32">
        <v>56</v>
      </c>
      <c r="J478" s="5" t="s">
        <v>2902</v>
      </c>
      <c r="K478" s="51">
        <v>12</v>
      </c>
      <c r="L478" s="32">
        <v>42</v>
      </c>
      <c r="M478" s="32">
        <v>37</v>
      </c>
      <c r="N478" s="5" t="s">
        <v>2903</v>
      </c>
      <c r="O478" s="33">
        <v>222</v>
      </c>
      <c r="P478" s="26" t="s">
        <v>214</v>
      </c>
      <c r="Q478" s="27" t="s">
        <v>2886</v>
      </c>
      <c r="R478" s="28" t="s">
        <v>242</v>
      </c>
      <c r="S478" s="28"/>
      <c r="T478" s="28" t="s">
        <v>968</v>
      </c>
      <c r="U478" s="45">
        <f t="shared" si="20"/>
        <v>728.16</v>
      </c>
    </row>
    <row r="479" spans="1:23" x14ac:dyDescent="0.25">
      <c r="A479" s="228" t="s">
        <v>1670</v>
      </c>
      <c r="B479" s="5" t="s">
        <v>128</v>
      </c>
      <c r="C479" s="4" t="s">
        <v>108</v>
      </c>
      <c r="D479" s="5" t="s">
        <v>912</v>
      </c>
      <c r="E479" s="4" t="s">
        <v>3050</v>
      </c>
      <c r="F479" s="41" t="s">
        <v>2182</v>
      </c>
      <c r="G479" s="32">
        <v>42</v>
      </c>
      <c r="H479" s="32">
        <v>51</v>
      </c>
      <c r="I479" s="32">
        <v>50</v>
      </c>
      <c r="J479" s="5" t="s">
        <v>2902</v>
      </c>
      <c r="K479" s="51">
        <v>12</v>
      </c>
      <c r="L479" s="32">
        <v>28</v>
      </c>
      <c r="M479" s="32">
        <v>46</v>
      </c>
      <c r="N479" s="5" t="s">
        <v>2903</v>
      </c>
      <c r="O479" s="33" t="s">
        <v>552</v>
      </c>
      <c r="P479" s="26" t="s">
        <v>238</v>
      </c>
      <c r="Q479" s="27" t="s">
        <v>553</v>
      </c>
      <c r="R479" s="28"/>
      <c r="S479" s="28"/>
      <c r="T479" s="28" t="s">
        <v>2112</v>
      </c>
      <c r="U479" s="45">
        <f t="shared" si="20"/>
        <v>1672.8</v>
      </c>
    </row>
    <row r="480" spans="1:23" x14ac:dyDescent="0.25">
      <c r="A480" s="228" t="s">
        <v>1671</v>
      </c>
      <c r="B480" s="5" t="s">
        <v>70</v>
      </c>
      <c r="C480" s="4" t="s">
        <v>108</v>
      </c>
      <c r="D480" s="5" t="s">
        <v>912</v>
      </c>
      <c r="E480" s="4" t="s">
        <v>561</v>
      </c>
      <c r="F480" s="4" t="s">
        <v>2181</v>
      </c>
      <c r="G480" s="32">
        <v>43</v>
      </c>
      <c r="H480" s="32">
        <v>16</v>
      </c>
      <c r="I480" s="32">
        <v>22</v>
      </c>
      <c r="J480" s="5" t="s">
        <v>2902</v>
      </c>
      <c r="K480" s="51">
        <v>12</v>
      </c>
      <c r="L480" s="32">
        <v>44</v>
      </c>
      <c r="M480" s="32">
        <v>47</v>
      </c>
      <c r="N480" s="5" t="s">
        <v>2903</v>
      </c>
      <c r="O480" s="33">
        <v>410</v>
      </c>
      <c r="P480" s="26" t="s">
        <v>330</v>
      </c>
      <c r="Q480" s="27" t="s">
        <v>198</v>
      </c>
      <c r="R480" s="28"/>
      <c r="S480" s="28"/>
      <c r="T480" s="28" t="s">
        <v>971</v>
      </c>
      <c r="U480" s="45">
        <f t="shared" si="20"/>
        <v>1344.8</v>
      </c>
    </row>
    <row r="481" spans="1:23" x14ac:dyDescent="0.25">
      <c r="A481" s="228" t="s">
        <v>1672</v>
      </c>
      <c r="B481" s="5" t="s">
        <v>70</v>
      </c>
      <c r="C481" s="4" t="s">
        <v>108</v>
      </c>
      <c r="D481" s="5" t="s">
        <v>912</v>
      </c>
      <c r="E481" s="4" t="s">
        <v>3051</v>
      </c>
      <c r="F481" s="4" t="s">
        <v>3052</v>
      </c>
      <c r="G481" s="32">
        <v>43</v>
      </c>
      <c r="H481" s="32">
        <v>19</v>
      </c>
      <c r="I481" s="32">
        <v>6</v>
      </c>
      <c r="J481" s="5" t="s">
        <v>2902</v>
      </c>
      <c r="K481" s="51">
        <v>12</v>
      </c>
      <c r="L481" s="32">
        <v>34</v>
      </c>
      <c r="M481" s="32">
        <v>25</v>
      </c>
      <c r="N481" s="5" t="s">
        <v>2903</v>
      </c>
      <c r="O481" s="33" t="s">
        <v>239</v>
      </c>
      <c r="P481" s="26" t="s">
        <v>187</v>
      </c>
      <c r="Q481" s="27" t="s">
        <v>161</v>
      </c>
      <c r="R481" s="28"/>
      <c r="S481" s="28"/>
      <c r="T481" s="28" t="s">
        <v>1005</v>
      </c>
      <c r="U481" s="45">
        <f t="shared" si="20"/>
        <v>1377.6</v>
      </c>
    </row>
    <row r="482" spans="1:23" x14ac:dyDescent="0.25">
      <c r="A482" s="228" t="s">
        <v>1673</v>
      </c>
      <c r="B482" s="37" t="s">
        <v>128</v>
      </c>
      <c r="C482" s="8" t="s">
        <v>108</v>
      </c>
      <c r="D482" s="37" t="s">
        <v>912</v>
      </c>
      <c r="E482" s="8" t="s">
        <v>972</v>
      </c>
      <c r="F482" s="4" t="s">
        <v>973</v>
      </c>
      <c r="G482" s="38">
        <v>43</v>
      </c>
      <c r="H482" s="38">
        <v>3</v>
      </c>
      <c r="I482" s="38">
        <v>30</v>
      </c>
      <c r="J482" s="37" t="s">
        <v>2902</v>
      </c>
      <c r="K482" s="52">
        <v>12</v>
      </c>
      <c r="L482" s="38">
        <v>6</v>
      </c>
      <c r="M482" s="38">
        <v>3</v>
      </c>
      <c r="N482" s="37" t="s">
        <v>2903</v>
      </c>
      <c r="O482" s="27">
        <v>273</v>
      </c>
      <c r="P482" s="26" t="s">
        <v>214</v>
      </c>
      <c r="Q482" s="27" t="s">
        <v>974</v>
      </c>
      <c r="R482" s="28"/>
      <c r="S482" s="28"/>
      <c r="T482" s="28" t="s">
        <v>975</v>
      </c>
      <c r="U482" s="45">
        <f t="shared" si="20"/>
        <v>895.43999999999994</v>
      </c>
    </row>
    <row r="483" spans="1:23" x14ac:dyDescent="0.25">
      <c r="A483" s="228" t="s">
        <v>1674</v>
      </c>
      <c r="B483" s="37" t="s">
        <v>124</v>
      </c>
      <c r="C483" s="8" t="s">
        <v>108</v>
      </c>
      <c r="D483" s="37" t="s">
        <v>912</v>
      </c>
      <c r="E483" s="8" t="s">
        <v>3046</v>
      </c>
      <c r="F483" s="41" t="s">
        <v>157</v>
      </c>
      <c r="G483" s="38">
        <v>43</v>
      </c>
      <c r="H483" s="38">
        <v>5</v>
      </c>
      <c r="I483" s="38">
        <v>49</v>
      </c>
      <c r="J483" s="37" t="s">
        <v>2902</v>
      </c>
      <c r="K483" s="52">
        <v>12</v>
      </c>
      <c r="L483" s="38">
        <v>30</v>
      </c>
      <c r="M483" s="38">
        <v>41</v>
      </c>
      <c r="N483" s="37" t="s">
        <v>2903</v>
      </c>
      <c r="O483" s="27" t="s">
        <v>477</v>
      </c>
      <c r="P483" s="26" t="s">
        <v>187</v>
      </c>
      <c r="Q483" s="27" t="s">
        <v>489</v>
      </c>
      <c r="R483" s="28" t="s">
        <v>1979</v>
      </c>
      <c r="S483" s="28"/>
      <c r="T483" s="28" t="s">
        <v>2211</v>
      </c>
      <c r="U483" s="45">
        <f t="shared" si="20"/>
        <v>68.88</v>
      </c>
    </row>
    <row r="484" spans="1:23" x14ac:dyDescent="0.25">
      <c r="A484" s="228" t="s">
        <v>1675</v>
      </c>
      <c r="B484" s="5" t="s">
        <v>70</v>
      </c>
      <c r="C484" s="4" t="s">
        <v>108</v>
      </c>
      <c r="D484" s="5" t="s">
        <v>912</v>
      </c>
      <c r="E484" s="4" t="s">
        <v>3046</v>
      </c>
      <c r="F484" s="4" t="s">
        <v>160</v>
      </c>
      <c r="G484" s="32">
        <v>43</v>
      </c>
      <c r="H484" s="32">
        <v>1</v>
      </c>
      <c r="I484" s="32">
        <v>21</v>
      </c>
      <c r="J484" s="5" t="s">
        <v>2902</v>
      </c>
      <c r="K484" s="51">
        <v>12</v>
      </c>
      <c r="L484" s="32">
        <v>23</v>
      </c>
      <c r="M484" s="32">
        <v>18</v>
      </c>
      <c r="N484" s="5" t="s">
        <v>2903</v>
      </c>
      <c r="O484" s="33" t="s">
        <v>208</v>
      </c>
      <c r="P484" s="26" t="s">
        <v>247</v>
      </c>
      <c r="Q484" s="27" t="s">
        <v>268</v>
      </c>
      <c r="R484" s="28"/>
      <c r="S484" s="28"/>
      <c r="T484" s="28" t="s">
        <v>2212</v>
      </c>
      <c r="U484" s="45">
        <f t="shared" si="20"/>
        <v>574</v>
      </c>
    </row>
    <row r="485" spans="1:23" x14ac:dyDescent="0.25">
      <c r="A485" s="228" t="s">
        <v>1676</v>
      </c>
      <c r="B485" s="37" t="s">
        <v>70</v>
      </c>
      <c r="C485" s="8" t="s">
        <v>108</v>
      </c>
      <c r="D485" s="37" t="s">
        <v>912</v>
      </c>
      <c r="E485" s="8" t="s">
        <v>985</v>
      </c>
      <c r="F485" s="4" t="s">
        <v>986</v>
      </c>
      <c r="G485" s="38">
        <v>43</v>
      </c>
      <c r="H485" s="38">
        <v>27</v>
      </c>
      <c r="I485" s="38">
        <v>10</v>
      </c>
      <c r="J485" s="37" t="s">
        <v>2902</v>
      </c>
      <c r="K485" s="52">
        <v>12</v>
      </c>
      <c r="L485" s="38">
        <v>24</v>
      </c>
      <c r="M485" s="38">
        <v>0</v>
      </c>
      <c r="N485" s="37" t="s">
        <v>2903</v>
      </c>
      <c r="O485" s="27">
        <v>703</v>
      </c>
      <c r="P485" s="26" t="s">
        <v>206</v>
      </c>
      <c r="Q485" s="27" t="s">
        <v>987</v>
      </c>
      <c r="R485" s="28"/>
      <c r="S485" s="28"/>
      <c r="T485" s="28" t="s">
        <v>988</v>
      </c>
      <c r="U485" s="45">
        <f t="shared" si="20"/>
        <v>2305.8399999999997</v>
      </c>
    </row>
    <row r="486" spans="1:23" x14ac:dyDescent="0.25">
      <c r="A486" s="228" t="s">
        <v>1677</v>
      </c>
      <c r="B486" s="5" t="s">
        <v>128</v>
      </c>
      <c r="C486" s="4" t="s">
        <v>108</v>
      </c>
      <c r="D486" s="5" t="s">
        <v>912</v>
      </c>
      <c r="E486" s="4" t="s">
        <v>3053</v>
      </c>
      <c r="F486" s="4" t="s">
        <v>2183</v>
      </c>
      <c r="G486" s="32">
        <v>42</v>
      </c>
      <c r="H486" s="32">
        <v>52</v>
      </c>
      <c r="I486" s="32">
        <v>15</v>
      </c>
      <c r="J486" s="5" t="s">
        <v>2902</v>
      </c>
      <c r="K486" s="51">
        <v>12</v>
      </c>
      <c r="L486" s="32">
        <v>23</v>
      </c>
      <c r="M486" s="32">
        <v>7</v>
      </c>
      <c r="N486" s="5" t="s">
        <v>2903</v>
      </c>
      <c r="O486" s="33" t="s">
        <v>412</v>
      </c>
      <c r="P486" s="26" t="s">
        <v>247</v>
      </c>
      <c r="Q486" s="27" t="s">
        <v>413</v>
      </c>
      <c r="R486" s="28" t="s">
        <v>171</v>
      </c>
      <c r="S486" s="28"/>
      <c r="T486" s="28" t="s">
        <v>1003</v>
      </c>
      <c r="U486" s="45">
        <f t="shared" si="20"/>
        <v>485.44</v>
      </c>
    </row>
    <row r="487" spans="1:23" x14ac:dyDescent="0.25">
      <c r="A487" s="228" t="s">
        <v>1678</v>
      </c>
      <c r="B487" s="37" t="s">
        <v>70</v>
      </c>
      <c r="C487" s="8" t="s">
        <v>108</v>
      </c>
      <c r="D487" s="37" t="s">
        <v>912</v>
      </c>
      <c r="E487" s="4" t="s">
        <v>3053</v>
      </c>
      <c r="F487" s="8" t="s">
        <v>991</v>
      </c>
      <c r="G487" s="38">
        <v>42</v>
      </c>
      <c r="H487" s="38">
        <v>47</v>
      </c>
      <c r="I487" s="38">
        <v>58</v>
      </c>
      <c r="J487" s="37" t="s">
        <v>2902</v>
      </c>
      <c r="K487" s="52">
        <v>12</v>
      </c>
      <c r="L487" s="38">
        <v>24</v>
      </c>
      <c r="M487" s="38">
        <v>8</v>
      </c>
      <c r="N487" s="37" t="s">
        <v>2903</v>
      </c>
      <c r="O487" s="27">
        <v>148</v>
      </c>
      <c r="P487" s="26" t="s">
        <v>342</v>
      </c>
      <c r="Q487" s="27" t="s">
        <v>994</v>
      </c>
      <c r="R487" s="28"/>
      <c r="S487" s="28"/>
      <c r="T487" s="28" t="s">
        <v>995</v>
      </c>
      <c r="U487" s="45">
        <f t="shared" si="20"/>
        <v>485.44</v>
      </c>
    </row>
    <row r="488" spans="1:23" x14ac:dyDescent="0.25">
      <c r="A488" s="228" t="s">
        <v>1679</v>
      </c>
      <c r="B488" s="5" t="s">
        <v>70</v>
      </c>
      <c r="C488" s="4" t="s">
        <v>108</v>
      </c>
      <c r="D488" s="5" t="s">
        <v>912</v>
      </c>
      <c r="E488" s="4" t="s">
        <v>989</v>
      </c>
      <c r="F488" s="4" t="s">
        <v>990</v>
      </c>
      <c r="G488" s="32">
        <v>43</v>
      </c>
      <c r="H488" s="32">
        <v>15</v>
      </c>
      <c r="I488" s="32">
        <v>41</v>
      </c>
      <c r="J488" s="5" t="s">
        <v>2902</v>
      </c>
      <c r="K488" s="51">
        <v>12</v>
      </c>
      <c r="L488" s="32">
        <v>21</v>
      </c>
      <c r="M488" s="32">
        <v>56</v>
      </c>
      <c r="N488" s="5" t="s">
        <v>2903</v>
      </c>
      <c r="O488" s="33"/>
      <c r="P488" s="26" t="s">
        <v>206</v>
      </c>
      <c r="Q488" s="27" t="s">
        <v>992</v>
      </c>
      <c r="R488" s="28"/>
      <c r="S488" s="28"/>
      <c r="T488" s="28" t="s">
        <v>993</v>
      </c>
      <c r="U488" s="45" t="str">
        <f t="shared" si="20"/>
        <v/>
      </c>
    </row>
    <row r="489" spans="1:23" x14ac:dyDescent="0.25">
      <c r="A489" s="228" t="s">
        <v>1821</v>
      </c>
      <c r="B489" s="37" t="s">
        <v>70</v>
      </c>
      <c r="C489" s="8" t="s">
        <v>108</v>
      </c>
      <c r="D489" s="37" t="s">
        <v>913</v>
      </c>
      <c r="E489" s="8" t="s">
        <v>372</v>
      </c>
      <c r="F489" s="4" t="s">
        <v>969</v>
      </c>
      <c r="G489" s="38">
        <v>42</v>
      </c>
      <c r="H489" s="38">
        <v>41</v>
      </c>
      <c r="I489" s="38">
        <v>24</v>
      </c>
      <c r="J489" s="37" t="s">
        <v>2902</v>
      </c>
      <c r="K489" s="52">
        <v>12</v>
      </c>
      <c r="L489" s="38">
        <v>33</v>
      </c>
      <c r="M489" s="38">
        <v>57</v>
      </c>
      <c r="N489" s="37" t="s">
        <v>2903</v>
      </c>
      <c r="O489" s="27"/>
      <c r="P489" s="26" t="s">
        <v>206</v>
      </c>
      <c r="Q489" s="27" t="s">
        <v>373</v>
      </c>
      <c r="R489" s="28" t="s">
        <v>171</v>
      </c>
      <c r="S489" s="28"/>
      <c r="T489" s="28" t="s">
        <v>1006</v>
      </c>
      <c r="U489" s="45" t="str">
        <f t="shared" si="20"/>
        <v/>
      </c>
    </row>
    <row r="490" spans="1:23" x14ac:dyDescent="0.25">
      <c r="A490" s="228" t="s">
        <v>1822</v>
      </c>
      <c r="B490" s="273" t="s">
        <v>70</v>
      </c>
      <c r="C490" s="259" t="s">
        <v>108</v>
      </c>
      <c r="D490" s="267" t="s">
        <v>913</v>
      </c>
      <c r="E490" s="268" t="s">
        <v>1214</v>
      </c>
      <c r="F490" s="268" t="s">
        <v>1215</v>
      </c>
      <c r="G490" s="269">
        <v>42</v>
      </c>
      <c r="H490" s="269">
        <v>27</v>
      </c>
      <c r="I490" s="269">
        <v>53</v>
      </c>
      <c r="J490" s="275" t="s">
        <v>2902</v>
      </c>
      <c r="K490" s="271">
        <v>12</v>
      </c>
      <c r="L490" s="269">
        <v>25</v>
      </c>
      <c r="M490" s="269">
        <v>46</v>
      </c>
      <c r="N490" s="273" t="s">
        <v>2903</v>
      </c>
      <c r="O490" s="272">
        <v>54</v>
      </c>
      <c r="P490" s="260" t="s">
        <v>225</v>
      </c>
      <c r="Q490" s="261" t="s">
        <v>1216</v>
      </c>
      <c r="R490" s="262"/>
      <c r="S490" s="263"/>
      <c r="T490" s="263" t="s">
        <v>1070</v>
      </c>
      <c r="U490" s="264">
        <f t="shared" si="20"/>
        <v>177.11999999999998</v>
      </c>
      <c r="V490" s="259"/>
      <c r="W490" s="259"/>
    </row>
    <row r="491" spans="1:23" x14ac:dyDescent="0.25">
      <c r="A491" s="228" t="s">
        <v>1823</v>
      </c>
      <c r="B491" s="37" t="s">
        <v>128</v>
      </c>
      <c r="C491" s="8" t="s">
        <v>108</v>
      </c>
      <c r="D491" s="37" t="s">
        <v>913</v>
      </c>
      <c r="E491" s="8" t="s">
        <v>976</v>
      </c>
      <c r="F491" s="4" t="s">
        <v>977</v>
      </c>
      <c r="G491" s="38">
        <v>42</v>
      </c>
      <c r="H491" s="38">
        <v>44</v>
      </c>
      <c r="I491" s="38">
        <v>0</v>
      </c>
      <c r="J491" s="37" t="s">
        <v>2902</v>
      </c>
      <c r="K491" s="52">
        <v>11</v>
      </c>
      <c r="L491" s="38">
        <v>58</v>
      </c>
      <c r="M491" s="38">
        <v>0</v>
      </c>
      <c r="N491" s="37" t="s">
        <v>2903</v>
      </c>
      <c r="O491" s="27"/>
      <c r="P491" s="26" t="s">
        <v>206</v>
      </c>
      <c r="Q491" s="27" t="s">
        <v>163</v>
      </c>
      <c r="R491" s="28"/>
      <c r="S491" s="28"/>
      <c r="T491" s="28" t="s">
        <v>334</v>
      </c>
      <c r="U491" s="45" t="str">
        <f t="shared" si="20"/>
        <v/>
      </c>
    </row>
    <row r="492" spans="1:23" x14ac:dyDescent="0.25">
      <c r="A492" s="228" t="s">
        <v>1824</v>
      </c>
      <c r="B492" s="37" t="s">
        <v>70</v>
      </c>
      <c r="C492" s="8" t="s">
        <v>108</v>
      </c>
      <c r="D492" s="37" t="s">
        <v>913</v>
      </c>
      <c r="E492" s="8" t="s">
        <v>25</v>
      </c>
      <c r="F492" s="8" t="s">
        <v>26</v>
      </c>
      <c r="G492" s="38">
        <v>42</v>
      </c>
      <c r="H492" s="38">
        <v>32</v>
      </c>
      <c r="I492" s="38">
        <v>6</v>
      </c>
      <c r="J492" s="37" t="s">
        <v>2902</v>
      </c>
      <c r="K492" s="52">
        <v>12</v>
      </c>
      <c r="L492" s="38">
        <v>33</v>
      </c>
      <c r="M492" s="38">
        <v>41</v>
      </c>
      <c r="N492" s="37" t="s">
        <v>2903</v>
      </c>
      <c r="O492" s="27" t="s">
        <v>531</v>
      </c>
      <c r="P492" s="26" t="s">
        <v>232</v>
      </c>
      <c r="Q492" s="27" t="s">
        <v>532</v>
      </c>
      <c r="R492" s="28" t="s">
        <v>461</v>
      </c>
      <c r="S492" s="28"/>
      <c r="T492" s="28" t="s">
        <v>1000</v>
      </c>
      <c r="U492" s="45">
        <f t="shared" si="20"/>
        <v>311.59999999999997</v>
      </c>
    </row>
    <row r="493" spans="1:23" x14ac:dyDescent="0.25">
      <c r="A493" s="228" t="s">
        <v>1825</v>
      </c>
      <c r="B493" s="5" t="s">
        <v>70</v>
      </c>
      <c r="C493" s="4" t="s">
        <v>108</v>
      </c>
      <c r="D493" s="5" t="s">
        <v>913</v>
      </c>
      <c r="E493" s="4" t="s">
        <v>25</v>
      </c>
      <c r="F493" s="4" t="s">
        <v>997</v>
      </c>
      <c r="G493" s="32">
        <v>42</v>
      </c>
      <c r="H493" s="32">
        <v>32</v>
      </c>
      <c r="I493" s="32">
        <v>7</v>
      </c>
      <c r="J493" s="5" t="s">
        <v>2902</v>
      </c>
      <c r="K493" s="51">
        <v>12</v>
      </c>
      <c r="L493" s="32">
        <v>33</v>
      </c>
      <c r="M493" s="32">
        <v>15</v>
      </c>
      <c r="N493" s="5" t="s">
        <v>2903</v>
      </c>
      <c r="O493" s="33">
        <v>45</v>
      </c>
      <c r="P493" s="26" t="s">
        <v>277</v>
      </c>
      <c r="Q493" s="27" t="s">
        <v>999</v>
      </c>
      <c r="R493" s="28"/>
      <c r="S493" s="28"/>
      <c r="T493" s="28" t="s">
        <v>1000</v>
      </c>
      <c r="U493" s="45">
        <f t="shared" si="20"/>
        <v>147.6</v>
      </c>
    </row>
    <row r="494" spans="1:23" x14ac:dyDescent="0.25">
      <c r="A494" s="228" t="s">
        <v>1826</v>
      </c>
      <c r="B494" s="37" t="s">
        <v>70</v>
      </c>
      <c r="C494" s="8" t="s">
        <v>108</v>
      </c>
      <c r="D494" s="37" t="s">
        <v>913</v>
      </c>
      <c r="E494" s="8" t="s">
        <v>996</v>
      </c>
      <c r="F494" s="4" t="s">
        <v>998</v>
      </c>
      <c r="G494" s="38">
        <v>42</v>
      </c>
      <c r="H494" s="38">
        <v>25</v>
      </c>
      <c r="I494" s="38">
        <v>39</v>
      </c>
      <c r="J494" s="37" t="s">
        <v>2902</v>
      </c>
      <c r="K494" s="52">
        <v>12</v>
      </c>
      <c r="L494" s="38">
        <v>27</v>
      </c>
      <c r="M494" s="38">
        <v>29</v>
      </c>
      <c r="N494" s="37" t="s">
        <v>2903</v>
      </c>
      <c r="O494" s="27">
        <v>70</v>
      </c>
      <c r="P494" s="26" t="s">
        <v>258</v>
      </c>
      <c r="Q494" s="27" t="s">
        <v>293</v>
      </c>
      <c r="R494" s="28"/>
      <c r="S494" s="28"/>
      <c r="T494" s="28" t="s">
        <v>1001</v>
      </c>
      <c r="U494" s="45">
        <f t="shared" si="20"/>
        <v>229.6</v>
      </c>
    </row>
    <row r="495" spans="1:23" x14ac:dyDescent="0.25">
      <c r="A495" s="228" t="s">
        <v>1827</v>
      </c>
      <c r="B495" s="5" t="s">
        <v>128</v>
      </c>
      <c r="C495" s="224" t="s">
        <v>108</v>
      </c>
      <c r="D495" s="5" t="s">
        <v>913</v>
      </c>
      <c r="E495" s="224" t="s">
        <v>24</v>
      </c>
      <c r="F495" s="225" t="s">
        <v>2929</v>
      </c>
      <c r="G495" s="32">
        <v>42</v>
      </c>
      <c r="H495" s="32">
        <v>34</v>
      </c>
      <c r="I495" s="32">
        <v>24</v>
      </c>
      <c r="J495" s="5" t="s">
        <v>2902</v>
      </c>
      <c r="K495" s="51">
        <v>12</v>
      </c>
      <c r="L495" s="32">
        <v>35</v>
      </c>
      <c r="M495" s="32">
        <v>4</v>
      </c>
      <c r="N495" s="5" t="s">
        <v>2903</v>
      </c>
      <c r="O495" s="33">
        <v>114</v>
      </c>
      <c r="P495" s="26" t="s">
        <v>204</v>
      </c>
      <c r="Q495" s="27" t="s">
        <v>689</v>
      </c>
      <c r="R495" s="28" t="s">
        <v>2930</v>
      </c>
      <c r="S495" s="28"/>
      <c r="T495" s="28" t="s">
        <v>2931</v>
      </c>
      <c r="U495" s="45">
        <f t="shared" si="20"/>
        <v>373.91999999999996</v>
      </c>
    </row>
    <row r="496" spans="1:23" x14ac:dyDescent="0.25">
      <c r="A496" s="228" t="s">
        <v>1366</v>
      </c>
      <c r="B496" s="5" t="s">
        <v>124</v>
      </c>
      <c r="C496" s="8" t="s">
        <v>702</v>
      </c>
      <c r="D496" s="5" t="s">
        <v>914</v>
      </c>
      <c r="E496" s="4" t="s">
        <v>703</v>
      </c>
      <c r="F496" s="4" t="s">
        <v>704</v>
      </c>
      <c r="G496" s="32">
        <v>45</v>
      </c>
      <c r="H496" s="32">
        <v>44</v>
      </c>
      <c r="I496" s="32">
        <v>19</v>
      </c>
      <c r="J496" s="5" t="s">
        <v>2902</v>
      </c>
      <c r="K496" s="51">
        <v>7</v>
      </c>
      <c r="L496" s="32">
        <v>21</v>
      </c>
      <c r="M496" s="32">
        <v>45</v>
      </c>
      <c r="N496" s="5" t="s">
        <v>2903</v>
      </c>
      <c r="O496" s="33">
        <v>550</v>
      </c>
      <c r="P496" s="26" t="s">
        <v>204</v>
      </c>
      <c r="Q496" s="27" t="s">
        <v>2887</v>
      </c>
      <c r="R496" s="28" t="s">
        <v>2627</v>
      </c>
      <c r="S496" s="28"/>
      <c r="T496" s="28" t="s">
        <v>705</v>
      </c>
      <c r="U496" s="45">
        <f t="shared" si="20"/>
        <v>1804</v>
      </c>
    </row>
    <row r="497" spans="1:23" x14ac:dyDescent="0.25">
      <c r="A497" s="228" t="s">
        <v>1367</v>
      </c>
      <c r="B497" s="5" t="s">
        <v>128</v>
      </c>
      <c r="C497" s="4" t="s">
        <v>702</v>
      </c>
      <c r="D497" s="5" t="s">
        <v>914</v>
      </c>
      <c r="E497" s="4" t="s">
        <v>706</v>
      </c>
      <c r="F497" s="4" t="s">
        <v>707</v>
      </c>
      <c r="G497" s="32">
        <v>45</v>
      </c>
      <c r="H497" s="32">
        <v>50</v>
      </c>
      <c r="I497" s="32">
        <v>4</v>
      </c>
      <c r="J497" s="5" t="s">
        <v>2902</v>
      </c>
      <c r="K497" s="51">
        <v>7</v>
      </c>
      <c r="L497" s="32">
        <v>37</v>
      </c>
      <c r="M497" s="32">
        <v>27</v>
      </c>
      <c r="N497" s="5" t="s">
        <v>2903</v>
      </c>
      <c r="O497" s="33"/>
      <c r="P497" s="26" t="s">
        <v>238</v>
      </c>
      <c r="Q497" s="27" t="s">
        <v>708</v>
      </c>
      <c r="R497" s="28"/>
      <c r="S497" s="28"/>
      <c r="T497" s="28" t="s">
        <v>709</v>
      </c>
      <c r="U497" s="45" t="str">
        <f t="shared" si="20"/>
        <v/>
      </c>
    </row>
    <row r="498" spans="1:23" x14ac:dyDescent="0.25">
      <c r="A498" s="231" t="s">
        <v>1401</v>
      </c>
      <c r="B498" s="5" t="s">
        <v>124</v>
      </c>
      <c r="C498" s="4" t="s">
        <v>99</v>
      </c>
      <c r="D498" s="5" t="s">
        <v>915</v>
      </c>
      <c r="E498" s="4" t="s">
        <v>2918</v>
      </c>
      <c r="F498" s="4" t="s">
        <v>2585</v>
      </c>
      <c r="G498" s="32">
        <v>46</v>
      </c>
      <c r="H498" s="32">
        <v>10</v>
      </c>
      <c r="I498" s="32">
        <v>0</v>
      </c>
      <c r="J498" s="5" t="s">
        <v>2902</v>
      </c>
      <c r="K498" s="51">
        <v>12</v>
      </c>
      <c r="L498" s="32">
        <v>14</v>
      </c>
      <c r="M498" s="32">
        <v>53</v>
      </c>
      <c r="N498" s="5" t="s">
        <v>2903</v>
      </c>
      <c r="O498" s="33" t="s">
        <v>574</v>
      </c>
      <c r="P498" s="26" t="s">
        <v>279</v>
      </c>
      <c r="Q498" s="27" t="s">
        <v>575</v>
      </c>
      <c r="R498" s="28" t="s">
        <v>601</v>
      </c>
      <c r="S498" s="28"/>
      <c r="T498" s="28" t="s">
        <v>576</v>
      </c>
      <c r="U498" s="45">
        <f t="shared" si="20"/>
        <v>1262.8</v>
      </c>
    </row>
    <row r="499" spans="1:23" x14ac:dyDescent="0.25">
      <c r="A499" s="228" t="s">
        <v>1402</v>
      </c>
      <c r="B499" s="37" t="s">
        <v>128</v>
      </c>
      <c r="C499" s="8" t="s">
        <v>99</v>
      </c>
      <c r="D499" s="37" t="s">
        <v>915</v>
      </c>
      <c r="E499" s="8" t="s">
        <v>2246</v>
      </c>
      <c r="F499" s="8" t="s">
        <v>2247</v>
      </c>
      <c r="G499" s="38">
        <v>46</v>
      </c>
      <c r="H499" s="38">
        <v>16</v>
      </c>
      <c r="I499" s="38">
        <v>30</v>
      </c>
      <c r="J499" s="37" t="s">
        <v>2902</v>
      </c>
      <c r="K499" s="52">
        <v>12</v>
      </c>
      <c r="L499" s="38">
        <v>18</v>
      </c>
      <c r="M499" s="38">
        <v>15</v>
      </c>
      <c r="N499" s="37" t="s">
        <v>2903</v>
      </c>
      <c r="O499" s="27">
        <v>400</v>
      </c>
      <c r="P499" s="26" t="s">
        <v>206</v>
      </c>
      <c r="Q499" s="27" t="s">
        <v>2248</v>
      </c>
      <c r="R499" s="28" t="s">
        <v>171</v>
      </c>
      <c r="S499" s="28"/>
      <c r="T499" s="28" t="s">
        <v>2249</v>
      </c>
      <c r="U499" s="45">
        <f t="shared" si="20"/>
        <v>1312</v>
      </c>
    </row>
    <row r="500" spans="1:23" x14ac:dyDescent="0.25">
      <c r="A500" s="231" t="s">
        <v>1403</v>
      </c>
      <c r="B500" s="37" t="s">
        <v>70</v>
      </c>
      <c r="C500" s="8" t="s">
        <v>99</v>
      </c>
      <c r="D500" s="37" t="s">
        <v>915</v>
      </c>
      <c r="E500" s="8" t="s">
        <v>668</v>
      </c>
      <c r="F500" s="8" t="s">
        <v>669</v>
      </c>
      <c r="G500" s="38">
        <v>46</v>
      </c>
      <c r="H500" s="38">
        <v>5</v>
      </c>
      <c r="I500" s="38">
        <v>16</v>
      </c>
      <c r="J500" s="37" t="s">
        <v>2902</v>
      </c>
      <c r="K500" s="52">
        <v>12</v>
      </c>
      <c r="L500" s="38">
        <v>3</v>
      </c>
      <c r="M500" s="38">
        <v>9</v>
      </c>
      <c r="N500" s="37" t="s">
        <v>2903</v>
      </c>
      <c r="O500" s="27" t="s">
        <v>244</v>
      </c>
      <c r="P500" s="26" t="s">
        <v>670</v>
      </c>
      <c r="Q500" s="27" t="s">
        <v>371</v>
      </c>
      <c r="R500" s="28"/>
      <c r="S500" s="28"/>
      <c r="T500" s="28" t="s">
        <v>2274</v>
      </c>
      <c r="U500" s="45">
        <f t="shared" si="20"/>
        <v>951.19999999999993</v>
      </c>
    </row>
    <row r="501" spans="1:23" x14ac:dyDescent="0.25">
      <c r="A501" s="231" t="s">
        <v>1404</v>
      </c>
      <c r="B501" s="37" t="s">
        <v>698</v>
      </c>
      <c r="C501" s="8" t="s">
        <v>99</v>
      </c>
      <c r="D501" s="37" t="s">
        <v>915</v>
      </c>
      <c r="E501" s="8" t="s">
        <v>650</v>
      </c>
      <c r="F501" s="8" t="s">
        <v>2275</v>
      </c>
      <c r="G501" s="38">
        <v>46</v>
      </c>
      <c r="H501" s="38">
        <v>6</v>
      </c>
      <c r="I501" s="38">
        <v>0</v>
      </c>
      <c r="J501" s="37" t="s">
        <v>2902</v>
      </c>
      <c r="K501" s="52">
        <v>12</v>
      </c>
      <c r="L501" s="38">
        <v>10</v>
      </c>
      <c r="M501" s="38">
        <v>0</v>
      </c>
      <c r="N501" s="37" t="s">
        <v>2903</v>
      </c>
      <c r="O501" s="27" t="s">
        <v>631</v>
      </c>
      <c r="P501" s="26" t="s">
        <v>279</v>
      </c>
      <c r="Q501" s="27" t="s">
        <v>2276</v>
      </c>
      <c r="R501" s="28"/>
      <c r="S501" s="28"/>
      <c r="T501" s="28" t="s">
        <v>651</v>
      </c>
      <c r="U501" s="45">
        <f t="shared" si="20"/>
        <v>1312</v>
      </c>
    </row>
    <row r="502" spans="1:23" x14ac:dyDescent="0.25">
      <c r="A502" s="231" t="s">
        <v>1405</v>
      </c>
      <c r="B502" s="37" t="s">
        <v>70</v>
      </c>
      <c r="C502" s="8" t="s">
        <v>99</v>
      </c>
      <c r="D502" s="37" t="s">
        <v>915</v>
      </c>
      <c r="E502" s="8" t="s">
        <v>398</v>
      </c>
      <c r="F502" s="4" t="s">
        <v>2039</v>
      </c>
      <c r="G502" s="38">
        <v>46</v>
      </c>
      <c r="H502" s="38">
        <v>8</v>
      </c>
      <c r="I502" s="38">
        <v>30</v>
      </c>
      <c r="J502" s="37" t="s">
        <v>2902</v>
      </c>
      <c r="K502" s="52">
        <v>12</v>
      </c>
      <c r="L502" s="38">
        <v>25</v>
      </c>
      <c r="M502" s="38">
        <v>49</v>
      </c>
      <c r="N502" s="37" t="s">
        <v>2903</v>
      </c>
      <c r="O502" s="27" t="s">
        <v>399</v>
      </c>
      <c r="P502" s="26" t="s">
        <v>206</v>
      </c>
      <c r="Q502" s="27" t="s">
        <v>400</v>
      </c>
      <c r="R502" s="28"/>
      <c r="S502" s="28"/>
      <c r="T502" s="28" t="s">
        <v>1008</v>
      </c>
      <c r="U502" s="45">
        <f t="shared" si="20"/>
        <v>2984.7999999999997</v>
      </c>
    </row>
    <row r="503" spans="1:23" s="247" customFormat="1" x14ac:dyDescent="0.25">
      <c r="A503" s="231" t="s">
        <v>1406</v>
      </c>
      <c r="B503" s="37" t="s">
        <v>128</v>
      </c>
      <c r="C503" s="8" t="s">
        <v>99</v>
      </c>
      <c r="D503" s="37" t="s">
        <v>915</v>
      </c>
      <c r="E503" s="8" t="s">
        <v>2919</v>
      </c>
      <c r="F503" s="8" t="s">
        <v>2040</v>
      </c>
      <c r="G503" s="38">
        <v>46</v>
      </c>
      <c r="H503" s="38">
        <v>4</v>
      </c>
      <c r="I503" s="38">
        <v>50</v>
      </c>
      <c r="J503" s="37" t="s">
        <v>2902</v>
      </c>
      <c r="K503" s="52">
        <v>12</v>
      </c>
      <c r="L503" s="38">
        <v>7</v>
      </c>
      <c r="M503" s="38">
        <v>30</v>
      </c>
      <c r="N503" s="37" t="s">
        <v>2903</v>
      </c>
      <c r="O503" s="27" t="s">
        <v>380</v>
      </c>
      <c r="P503" s="26" t="s">
        <v>206</v>
      </c>
      <c r="Q503" s="27" t="s">
        <v>512</v>
      </c>
      <c r="R503" s="28" t="s">
        <v>171</v>
      </c>
      <c r="S503" s="28"/>
      <c r="T503" s="28" t="s">
        <v>2213</v>
      </c>
      <c r="U503" s="45">
        <f t="shared" si="20"/>
        <v>983.99999999999989</v>
      </c>
      <c r="V503" s="8"/>
      <c r="W503" s="8"/>
    </row>
    <row r="504" spans="1:23" x14ac:dyDescent="0.25">
      <c r="A504" s="231" t="s">
        <v>1407</v>
      </c>
      <c r="B504" s="5" t="s">
        <v>70</v>
      </c>
      <c r="C504" s="4" t="s">
        <v>99</v>
      </c>
      <c r="D504" s="5" t="s">
        <v>915</v>
      </c>
      <c r="E504" s="4" t="s">
        <v>2277</v>
      </c>
      <c r="F504" s="4" t="s">
        <v>2278</v>
      </c>
      <c r="G504" s="32">
        <v>46</v>
      </c>
      <c r="H504" s="32">
        <v>30</v>
      </c>
      <c r="I504" s="32">
        <v>0</v>
      </c>
      <c r="J504" s="5" t="s">
        <v>2902</v>
      </c>
      <c r="K504" s="51">
        <v>12</v>
      </c>
      <c r="L504" s="32">
        <v>29</v>
      </c>
      <c r="M504" s="32">
        <v>0</v>
      </c>
      <c r="N504" s="5" t="s">
        <v>2903</v>
      </c>
      <c r="O504" s="33">
        <v>900</v>
      </c>
      <c r="P504" s="26" t="s">
        <v>206</v>
      </c>
      <c r="Q504" s="27" t="s">
        <v>2279</v>
      </c>
      <c r="R504" s="28"/>
      <c r="S504" s="28"/>
      <c r="T504" s="28" t="s">
        <v>2280</v>
      </c>
      <c r="U504" s="45">
        <f t="shared" si="20"/>
        <v>2952</v>
      </c>
    </row>
    <row r="505" spans="1:23" x14ac:dyDescent="0.25">
      <c r="A505" s="228" t="s">
        <v>1643</v>
      </c>
      <c r="B505" s="43" t="s">
        <v>128</v>
      </c>
      <c r="C505" s="8" t="s">
        <v>99</v>
      </c>
      <c r="D505" s="43" t="s">
        <v>916</v>
      </c>
      <c r="E505" s="41" t="s">
        <v>3028</v>
      </c>
      <c r="F505" s="41" t="s">
        <v>184</v>
      </c>
      <c r="G505" s="42">
        <v>45</v>
      </c>
      <c r="H505" s="42">
        <v>33</v>
      </c>
      <c r="I505" s="42">
        <v>22</v>
      </c>
      <c r="J505" s="60" t="s">
        <v>2902</v>
      </c>
      <c r="K505" s="56">
        <v>11</v>
      </c>
      <c r="L505" s="42">
        <v>58</v>
      </c>
      <c r="M505" s="42">
        <v>32</v>
      </c>
      <c r="N505" s="37" t="s">
        <v>2903</v>
      </c>
      <c r="O505" s="40">
        <v>17</v>
      </c>
      <c r="P505" s="26" t="s">
        <v>206</v>
      </c>
      <c r="Q505" s="27" t="s">
        <v>134</v>
      </c>
      <c r="R505" s="28"/>
      <c r="S505" s="28"/>
      <c r="T505" s="28" t="s">
        <v>2586</v>
      </c>
      <c r="U505" s="45">
        <f t="shared" si="20"/>
        <v>55.76</v>
      </c>
    </row>
    <row r="506" spans="1:23" x14ac:dyDescent="0.25">
      <c r="A506" s="228" t="s">
        <v>1644</v>
      </c>
      <c r="B506" s="5" t="s">
        <v>70</v>
      </c>
      <c r="C506" s="8" t="s">
        <v>99</v>
      </c>
      <c r="D506" s="5" t="s">
        <v>916</v>
      </c>
      <c r="E506" s="4" t="s">
        <v>3029</v>
      </c>
      <c r="F506" s="4" t="s">
        <v>3030</v>
      </c>
      <c r="G506" s="32">
        <v>45</v>
      </c>
      <c r="H506" s="32">
        <v>23</v>
      </c>
      <c r="I506" s="32">
        <v>48</v>
      </c>
      <c r="J506" s="5" t="s">
        <v>2902</v>
      </c>
      <c r="K506" s="51">
        <v>11</v>
      </c>
      <c r="L506" s="32">
        <v>41</v>
      </c>
      <c r="M506" s="32">
        <v>54</v>
      </c>
      <c r="N506" s="5" t="s">
        <v>2903</v>
      </c>
      <c r="O506" s="33" t="s">
        <v>292</v>
      </c>
      <c r="P506" s="26" t="s">
        <v>206</v>
      </c>
      <c r="Q506" s="27" t="s">
        <v>306</v>
      </c>
      <c r="R506" s="28"/>
      <c r="S506" s="28"/>
      <c r="T506" s="28" t="s">
        <v>2113</v>
      </c>
      <c r="U506" s="45">
        <f t="shared" ref="U506:U536" si="21">IF(O506&lt;&gt;"",O506*3.28,"")</f>
        <v>55.76</v>
      </c>
    </row>
    <row r="507" spans="1:23" x14ac:dyDescent="0.25">
      <c r="A507" s="228" t="s">
        <v>1645</v>
      </c>
      <c r="B507" s="5" t="s">
        <v>70</v>
      </c>
      <c r="C507" s="8" t="s">
        <v>99</v>
      </c>
      <c r="D507" s="5" t="s">
        <v>916</v>
      </c>
      <c r="E507" s="4" t="s">
        <v>3031</v>
      </c>
      <c r="F507" s="4" t="s">
        <v>2043</v>
      </c>
      <c r="G507" s="32">
        <v>45</v>
      </c>
      <c r="H507" s="32">
        <v>17</v>
      </c>
      <c r="I507" s="32">
        <v>44</v>
      </c>
      <c r="J507" s="5" t="s">
        <v>2902</v>
      </c>
      <c r="K507" s="51">
        <v>12</v>
      </c>
      <c r="L507" s="32">
        <v>4</v>
      </c>
      <c r="M507" s="32">
        <v>5</v>
      </c>
      <c r="N507" s="37" t="s">
        <v>2903</v>
      </c>
      <c r="O507" s="33" t="s">
        <v>255</v>
      </c>
      <c r="P507" s="26" t="s">
        <v>279</v>
      </c>
      <c r="Q507" s="27" t="s">
        <v>512</v>
      </c>
      <c r="R507" s="28"/>
      <c r="S507" s="28"/>
      <c r="T507" s="28" t="s">
        <v>2214</v>
      </c>
      <c r="U507" s="45">
        <f t="shared" si="21"/>
        <v>6.56</v>
      </c>
    </row>
    <row r="508" spans="1:23" x14ac:dyDescent="0.25">
      <c r="A508" s="228" t="s">
        <v>1646</v>
      </c>
      <c r="B508" s="5" t="s">
        <v>128</v>
      </c>
      <c r="C508" s="4" t="s">
        <v>99</v>
      </c>
      <c r="D508" s="5" t="s">
        <v>916</v>
      </c>
      <c r="E508" s="4" t="s">
        <v>2250</v>
      </c>
      <c r="F508" s="4" t="s">
        <v>2251</v>
      </c>
      <c r="G508" s="32">
        <v>45</v>
      </c>
      <c r="H508" s="32">
        <v>14</v>
      </c>
      <c r="I508" s="32">
        <v>0</v>
      </c>
      <c r="J508" s="5" t="s">
        <v>2902</v>
      </c>
      <c r="K508" s="51">
        <v>11</v>
      </c>
      <c r="L508" s="32">
        <v>37</v>
      </c>
      <c r="M508" s="32">
        <v>0</v>
      </c>
      <c r="N508" s="5" t="s">
        <v>2903</v>
      </c>
      <c r="O508" s="33">
        <v>8</v>
      </c>
      <c r="P508" s="26" t="s">
        <v>267</v>
      </c>
      <c r="Q508" s="27" t="s">
        <v>368</v>
      </c>
      <c r="R508" s="28"/>
      <c r="S508" s="28"/>
      <c r="T508" s="28" t="s">
        <v>2252</v>
      </c>
      <c r="U508" s="45">
        <f t="shared" si="21"/>
        <v>26.24</v>
      </c>
    </row>
    <row r="509" spans="1:23" x14ac:dyDescent="0.25">
      <c r="A509" s="228" t="s">
        <v>1647</v>
      </c>
      <c r="B509" s="5" t="s">
        <v>70</v>
      </c>
      <c r="C509" s="4" t="s">
        <v>99</v>
      </c>
      <c r="D509" s="5" t="s">
        <v>916</v>
      </c>
      <c r="E509" s="4" t="s">
        <v>3032</v>
      </c>
      <c r="F509" s="4" t="s">
        <v>2042</v>
      </c>
      <c r="G509" s="32">
        <v>45</v>
      </c>
      <c r="H509" s="32">
        <v>40</v>
      </c>
      <c r="I509" s="32">
        <v>0</v>
      </c>
      <c r="J509" s="5" t="s">
        <v>2902</v>
      </c>
      <c r="K509" s="51">
        <v>11</v>
      </c>
      <c r="L509" s="32">
        <v>48</v>
      </c>
      <c r="M509" s="32">
        <v>30</v>
      </c>
      <c r="N509" s="5" t="s">
        <v>2903</v>
      </c>
      <c r="O509" s="33" t="s">
        <v>311</v>
      </c>
      <c r="P509" s="26" t="s">
        <v>214</v>
      </c>
      <c r="Q509" s="27" t="s">
        <v>271</v>
      </c>
      <c r="R509" s="28"/>
      <c r="S509" s="28"/>
      <c r="T509" s="28" t="s">
        <v>2215</v>
      </c>
      <c r="U509" s="45">
        <f t="shared" si="21"/>
        <v>164</v>
      </c>
    </row>
    <row r="510" spans="1:23" x14ac:dyDescent="0.25">
      <c r="A510" s="228" t="s">
        <v>1648</v>
      </c>
      <c r="B510" s="5" t="s">
        <v>128</v>
      </c>
      <c r="C510" s="4" t="s">
        <v>99</v>
      </c>
      <c r="D510" s="5" t="s">
        <v>916</v>
      </c>
      <c r="E510" s="4" t="s">
        <v>2253</v>
      </c>
      <c r="F510" s="4" t="s">
        <v>2254</v>
      </c>
      <c r="G510" s="32">
        <v>45</v>
      </c>
      <c r="H510" s="32">
        <v>28</v>
      </c>
      <c r="I510" s="32">
        <v>54</v>
      </c>
      <c r="J510" s="5" t="s">
        <v>2902</v>
      </c>
      <c r="K510" s="51">
        <v>11</v>
      </c>
      <c r="L510" s="32">
        <v>45</v>
      </c>
      <c r="M510" s="32">
        <v>38</v>
      </c>
      <c r="N510" s="5" t="s">
        <v>2903</v>
      </c>
      <c r="O510" s="33">
        <v>30</v>
      </c>
      <c r="P510" s="26" t="s">
        <v>206</v>
      </c>
      <c r="Q510" s="27" t="s">
        <v>218</v>
      </c>
      <c r="R510" s="28"/>
      <c r="S510" s="28"/>
      <c r="T510" s="28" t="s">
        <v>2255</v>
      </c>
      <c r="U510" s="45">
        <f t="shared" si="21"/>
        <v>98.399999999999991</v>
      </c>
    </row>
    <row r="511" spans="1:23" x14ac:dyDescent="0.25">
      <c r="A511" s="228" t="s">
        <v>1649</v>
      </c>
      <c r="B511" s="5" t="s">
        <v>70</v>
      </c>
      <c r="C511" s="4" t="s">
        <v>99</v>
      </c>
      <c r="D511" s="5" t="s">
        <v>916</v>
      </c>
      <c r="E511" s="4" t="s">
        <v>657</v>
      </c>
      <c r="F511" s="4" t="s">
        <v>2047</v>
      </c>
      <c r="G511" s="32">
        <v>44</v>
      </c>
      <c r="H511" s="32">
        <v>19</v>
      </c>
      <c r="I511" s="32">
        <v>27</v>
      </c>
      <c r="J511" s="5" t="s">
        <v>2902</v>
      </c>
      <c r="K511" s="51">
        <v>11</v>
      </c>
      <c r="L511" s="32">
        <v>52</v>
      </c>
      <c r="M511" s="32">
        <v>21</v>
      </c>
      <c r="N511" s="5" t="s">
        <v>2903</v>
      </c>
      <c r="O511" s="33" t="s">
        <v>658</v>
      </c>
      <c r="P511" s="26" t="s">
        <v>206</v>
      </c>
      <c r="Q511" s="27" t="s">
        <v>659</v>
      </c>
      <c r="R511" s="28"/>
      <c r="S511" s="28"/>
      <c r="T511" s="28" t="s">
        <v>2216</v>
      </c>
      <c r="U511" s="45">
        <f t="shared" si="21"/>
        <v>29.52</v>
      </c>
    </row>
    <row r="512" spans="1:23" x14ac:dyDescent="0.25">
      <c r="A512" s="228" t="s">
        <v>1650</v>
      </c>
      <c r="B512" s="5" t="s">
        <v>70</v>
      </c>
      <c r="C512" s="4" t="s">
        <v>99</v>
      </c>
      <c r="D512" s="37" t="s">
        <v>916</v>
      </c>
      <c r="E512" s="4" t="s">
        <v>438</v>
      </c>
      <c r="F512" s="4" t="s">
        <v>439</v>
      </c>
      <c r="G512" s="32">
        <v>45</v>
      </c>
      <c r="H512" s="32">
        <v>27</v>
      </c>
      <c r="I512" s="32">
        <v>54</v>
      </c>
      <c r="J512" s="5" t="s">
        <v>2902</v>
      </c>
      <c r="K512" s="51">
        <v>11</v>
      </c>
      <c r="L512" s="32">
        <v>43</v>
      </c>
      <c r="M512" s="32">
        <v>35</v>
      </c>
      <c r="N512" s="5" t="s">
        <v>2903</v>
      </c>
      <c r="O512" s="33" t="s">
        <v>440</v>
      </c>
      <c r="P512" s="26" t="s">
        <v>342</v>
      </c>
      <c r="Q512" s="27" t="s">
        <v>441</v>
      </c>
      <c r="R512" s="28"/>
      <c r="S512" s="28"/>
      <c r="T512" s="28" t="s">
        <v>1991</v>
      </c>
      <c r="U512" s="45">
        <f t="shared" si="21"/>
        <v>114.8</v>
      </c>
    </row>
    <row r="513" spans="1:23" x14ac:dyDescent="0.25">
      <c r="A513" s="228" t="s">
        <v>1651</v>
      </c>
      <c r="B513" s="5" t="s">
        <v>70</v>
      </c>
      <c r="C513" s="4" t="s">
        <v>99</v>
      </c>
      <c r="D513" s="5" t="s">
        <v>916</v>
      </c>
      <c r="E513" s="4" t="s">
        <v>3033</v>
      </c>
      <c r="F513" s="4" t="s">
        <v>3034</v>
      </c>
      <c r="G513" s="32">
        <v>45</v>
      </c>
      <c r="H513" s="32">
        <v>24</v>
      </c>
      <c r="I513" s="32">
        <v>2</v>
      </c>
      <c r="J513" s="5" t="s">
        <v>2902</v>
      </c>
      <c r="K513" s="51">
        <v>11</v>
      </c>
      <c r="L513" s="32">
        <v>47</v>
      </c>
      <c r="M513" s="32">
        <v>51</v>
      </c>
      <c r="N513" s="5" t="s">
        <v>2903</v>
      </c>
      <c r="O513" s="33">
        <v>10</v>
      </c>
      <c r="P513" s="26" t="s">
        <v>206</v>
      </c>
      <c r="Q513" s="27" t="s">
        <v>229</v>
      </c>
      <c r="R513" s="28"/>
      <c r="S513" s="28"/>
      <c r="T513" s="28" t="s">
        <v>2281</v>
      </c>
      <c r="U513" s="45">
        <f t="shared" si="21"/>
        <v>32.799999999999997</v>
      </c>
    </row>
    <row r="514" spans="1:23" x14ac:dyDescent="0.25">
      <c r="A514" s="228" t="s">
        <v>1652</v>
      </c>
      <c r="B514" s="37" t="s">
        <v>128</v>
      </c>
      <c r="C514" s="8" t="s">
        <v>99</v>
      </c>
      <c r="D514" s="37" t="s">
        <v>916</v>
      </c>
      <c r="E514" s="8" t="s">
        <v>3035</v>
      </c>
      <c r="F514" s="8" t="s">
        <v>2053</v>
      </c>
      <c r="G514" s="38">
        <v>45</v>
      </c>
      <c r="H514" s="38">
        <v>14</v>
      </c>
      <c r="I514" s="38">
        <v>20</v>
      </c>
      <c r="J514" s="37" t="s">
        <v>2902</v>
      </c>
      <c r="K514" s="52">
        <v>11</v>
      </c>
      <c r="L514" s="38">
        <v>25</v>
      </c>
      <c r="M514" s="38">
        <v>15</v>
      </c>
      <c r="N514" s="37" t="s">
        <v>2903</v>
      </c>
      <c r="O514" s="27" t="s">
        <v>295</v>
      </c>
      <c r="P514" s="26" t="s">
        <v>277</v>
      </c>
      <c r="Q514" s="27" t="s">
        <v>365</v>
      </c>
      <c r="R514" s="28" t="s">
        <v>171</v>
      </c>
      <c r="S514" s="28"/>
      <c r="T514" s="28" t="s">
        <v>1992</v>
      </c>
      <c r="U514" s="45">
        <f t="shared" si="21"/>
        <v>22.959999999999997</v>
      </c>
    </row>
    <row r="515" spans="1:23" x14ac:dyDescent="0.25">
      <c r="A515" s="228" t="s">
        <v>1653</v>
      </c>
      <c r="B515" s="37" t="s">
        <v>124</v>
      </c>
      <c r="C515" s="8" t="s">
        <v>99</v>
      </c>
      <c r="D515" s="37" t="s">
        <v>916</v>
      </c>
      <c r="E515" s="8" t="s">
        <v>2223</v>
      </c>
      <c r="F515" s="8" t="s">
        <v>2224</v>
      </c>
      <c r="G515" s="38">
        <v>45</v>
      </c>
      <c r="H515" s="38">
        <v>23</v>
      </c>
      <c r="I515" s="38">
        <v>43</v>
      </c>
      <c r="J515" s="37" t="s">
        <v>2902</v>
      </c>
      <c r="K515" s="52">
        <v>11</v>
      </c>
      <c r="L515" s="38">
        <v>50</v>
      </c>
      <c r="M515" s="38">
        <v>54</v>
      </c>
      <c r="N515" s="37" t="s">
        <v>2903</v>
      </c>
      <c r="O515" s="27">
        <v>14</v>
      </c>
      <c r="P515" s="26" t="s">
        <v>194</v>
      </c>
      <c r="Q515" s="27" t="s">
        <v>2888</v>
      </c>
      <c r="R515" s="28" t="s">
        <v>2621</v>
      </c>
      <c r="S515" s="28"/>
      <c r="T515" s="28" t="s">
        <v>2225</v>
      </c>
      <c r="U515" s="45">
        <f t="shared" si="21"/>
        <v>45.919999999999995</v>
      </c>
    </row>
    <row r="516" spans="1:23" s="247" customFormat="1" x14ac:dyDescent="0.25">
      <c r="A516" s="228" t="s">
        <v>1654</v>
      </c>
      <c r="B516" s="37" t="s">
        <v>70</v>
      </c>
      <c r="C516" s="4" t="s">
        <v>99</v>
      </c>
      <c r="D516" s="37" t="s">
        <v>916</v>
      </c>
      <c r="E516" s="8" t="s">
        <v>3036</v>
      </c>
      <c r="F516" s="8" t="s">
        <v>3037</v>
      </c>
      <c r="G516" s="38">
        <v>45</v>
      </c>
      <c r="H516" s="38">
        <v>32</v>
      </c>
      <c r="I516" s="38">
        <v>50</v>
      </c>
      <c r="J516" s="5" t="s">
        <v>2902</v>
      </c>
      <c r="K516" s="52">
        <v>11</v>
      </c>
      <c r="L516" s="38">
        <v>46</v>
      </c>
      <c r="M516" s="38">
        <v>23</v>
      </c>
      <c r="N516" s="5" t="s">
        <v>2903</v>
      </c>
      <c r="O516" s="27" t="s">
        <v>292</v>
      </c>
      <c r="P516" s="26" t="s">
        <v>251</v>
      </c>
      <c r="Q516" s="27" t="s">
        <v>293</v>
      </c>
      <c r="R516" s="28"/>
      <c r="S516" s="28"/>
      <c r="T516" s="28" t="s">
        <v>2220</v>
      </c>
      <c r="U516" s="45">
        <f t="shared" si="21"/>
        <v>55.76</v>
      </c>
      <c r="V516" s="8"/>
      <c r="W516" s="8"/>
    </row>
    <row r="517" spans="1:23" s="247" customFormat="1" x14ac:dyDescent="0.25">
      <c r="A517" s="228" t="s">
        <v>1655</v>
      </c>
      <c r="B517" s="273" t="s">
        <v>124</v>
      </c>
      <c r="C517" s="259" t="s">
        <v>99</v>
      </c>
      <c r="D517" s="37" t="s">
        <v>916</v>
      </c>
      <c r="E517" s="259" t="s">
        <v>3062</v>
      </c>
      <c r="F517" s="259" t="s">
        <v>1305</v>
      </c>
      <c r="G517" s="274">
        <v>45</v>
      </c>
      <c r="H517" s="274">
        <v>59</v>
      </c>
      <c r="I517" s="274">
        <v>32</v>
      </c>
      <c r="J517" s="275" t="s">
        <v>2902</v>
      </c>
      <c r="K517" s="276">
        <v>12</v>
      </c>
      <c r="L517" s="274">
        <v>39</v>
      </c>
      <c r="M517" s="274">
        <v>26</v>
      </c>
      <c r="N517" s="273" t="s">
        <v>2903</v>
      </c>
      <c r="O517" s="277">
        <v>65</v>
      </c>
      <c r="P517" s="260" t="s">
        <v>194</v>
      </c>
      <c r="Q517" s="261" t="s">
        <v>2862</v>
      </c>
      <c r="R517" s="262" t="s">
        <v>1212</v>
      </c>
      <c r="S517" s="263"/>
      <c r="T517" s="263" t="s">
        <v>1213</v>
      </c>
      <c r="U517" s="264">
        <f t="shared" si="21"/>
        <v>213.2</v>
      </c>
      <c r="V517" s="259"/>
      <c r="W517" s="259"/>
    </row>
    <row r="518" spans="1:23" x14ac:dyDescent="0.25">
      <c r="A518" s="228" t="s">
        <v>1656</v>
      </c>
      <c r="B518" s="267" t="s">
        <v>124</v>
      </c>
      <c r="C518" s="259" t="s">
        <v>99</v>
      </c>
      <c r="D518" s="5" t="s">
        <v>916</v>
      </c>
      <c r="E518" s="268" t="s">
        <v>3062</v>
      </c>
      <c r="F518" s="268" t="s">
        <v>1208</v>
      </c>
      <c r="G518" s="269">
        <v>46</v>
      </c>
      <c r="H518" s="269" t="s">
        <v>1209</v>
      </c>
      <c r="I518" s="269">
        <v>0</v>
      </c>
      <c r="J518" s="270" t="s">
        <v>2902</v>
      </c>
      <c r="K518" s="271" t="s">
        <v>324</v>
      </c>
      <c r="L518" s="269" t="s">
        <v>1210</v>
      </c>
      <c r="M518" s="269">
        <v>6</v>
      </c>
      <c r="N518" s="267" t="s">
        <v>2903</v>
      </c>
      <c r="O518" s="272" t="s">
        <v>295</v>
      </c>
      <c r="P518" s="260" t="s">
        <v>194</v>
      </c>
      <c r="Q518" s="261" t="s">
        <v>1211</v>
      </c>
      <c r="R518" s="262"/>
      <c r="S518" s="263"/>
      <c r="T518" s="263" t="s">
        <v>1992</v>
      </c>
      <c r="U518" s="264">
        <f t="shared" si="21"/>
        <v>22.959999999999997</v>
      </c>
      <c r="V518" s="259"/>
      <c r="W518" s="259"/>
    </row>
    <row r="519" spans="1:23" x14ac:dyDescent="0.25">
      <c r="A519" s="228" t="s">
        <v>1657</v>
      </c>
      <c r="B519" s="37" t="s">
        <v>128</v>
      </c>
      <c r="C519" s="8" t="s">
        <v>99</v>
      </c>
      <c r="D519" s="37" t="s">
        <v>916</v>
      </c>
      <c r="E519" s="8" t="s">
        <v>3038</v>
      </c>
      <c r="F519" s="8" t="s">
        <v>2041</v>
      </c>
      <c r="G519" s="38">
        <v>45</v>
      </c>
      <c r="H519" s="38">
        <v>12</v>
      </c>
      <c r="I519" s="38">
        <v>9</v>
      </c>
      <c r="J519" s="37" t="s">
        <v>2902</v>
      </c>
      <c r="K519" s="52">
        <v>11</v>
      </c>
      <c r="L519" s="38">
        <v>47</v>
      </c>
      <c r="M519" s="38">
        <v>40</v>
      </c>
      <c r="N519" s="37" t="s">
        <v>2903</v>
      </c>
      <c r="O519" s="27" t="s">
        <v>498</v>
      </c>
      <c r="P519" s="26" t="s">
        <v>187</v>
      </c>
      <c r="Q519" s="27" t="s">
        <v>499</v>
      </c>
      <c r="R519" s="28"/>
      <c r="S519" s="28"/>
      <c r="T519" s="28" t="s">
        <v>1990</v>
      </c>
      <c r="U519" s="45">
        <f t="shared" si="21"/>
        <v>26.24</v>
      </c>
    </row>
    <row r="520" spans="1:23" x14ac:dyDescent="0.25">
      <c r="A520" s="228" t="s">
        <v>1759</v>
      </c>
      <c r="B520" s="37" t="s">
        <v>70</v>
      </c>
      <c r="C520" s="8" t="s">
        <v>99</v>
      </c>
      <c r="D520" s="37" t="s">
        <v>917</v>
      </c>
      <c r="E520" s="8" t="s">
        <v>655</v>
      </c>
      <c r="F520" s="8" t="s">
        <v>656</v>
      </c>
      <c r="G520" s="38">
        <v>45</v>
      </c>
      <c r="H520" s="38">
        <v>2</v>
      </c>
      <c r="I520" s="38">
        <v>1</v>
      </c>
      <c r="J520" s="37" t="s">
        <v>2902</v>
      </c>
      <c r="K520" s="52">
        <v>11</v>
      </c>
      <c r="L520" s="38">
        <v>43</v>
      </c>
      <c r="M520" s="38">
        <v>54</v>
      </c>
      <c r="N520" s="37" t="s">
        <v>2903</v>
      </c>
      <c r="O520" s="27" t="s">
        <v>255</v>
      </c>
      <c r="P520" s="26" t="s">
        <v>191</v>
      </c>
      <c r="Q520" s="27" t="s">
        <v>207</v>
      </c>
      <c r="R520" s="28"/>
      <c r="S520" s="28"/>
      <c r="T520" s="28" t="s">
        <v>1989</v>
      </c>
      <c r="U520" s="45">
        <f t="shared" si="21"/>
        <v>6.56</v>
      </c>
    </row>
    <row r="521" spans="1:23" x14ac:dyDescent="0.25">
      <c r="A521" s="228" t="s">
        <v>1760</v>
      </c>
      <c r="B521" s="37" t="s">
        <v>70</v>
      </c>
      <c r="C521" s="8" t="s">
        <v>99</v>
      </c>
      <c r="D521" s="37" t="s">
        <v>917</v>
      </c>
      <c r="E521" s="8" t="s">
        <v>2282</v>
      </c>
      <c r="F521" s="8" t="s">
        <v>2283</v>
      </c>
      <c r="G521" s="38">
        <v>45</v>
      </c>
      <c r="H521" s="38">
        <v>1</v>
      </c>
      <c r="I521" s="38">
        <v>8</v>
      </c>
      <c r="J521" s="37" t="s">
        <v>2902</v>
      </c>
      <c r="K521" s="52">
        <v>11</v>
      </c>
      <c r="L521" s="38">
        <v>36</v>
      </c>
      <c r="M521" s="38">
        <v>44</v>
      </c>
      <c r="N521" s="37" t="s">
        <v>2903</v>
      </c>
      <c r="O521" s="27">
        <v>10</v>
      </c>
      <c r="P521" s="26" t="s">
        <v>187</v>
      </c>
      <c r="Q521" s="27" t="s">
        <v>306</v>
      </c>
      <c r="R521" s="28"/>
      <c r="S521" s="28"/>
      <c r="T521" s="28" t="s">
        <v>2284</v>
      </c>
      <c r="U521" s="45">
        <f t="shared" si="21"/>
        <v>32.799999999999997</v>
      </c>
    </row>
    <row r="522" spans="1:23" x14ac:dyDescent="0.25">
      <c r="A522" s="228" t="s">
        <v>1761</v>
      </c>
      <c r="B522" s="37" t="s">
        <v>70</v>
      </c>
      <c r="C522" s="8" t="s">
        <v>99</v>
      </c>
      <c r="D522" s="37" t="s">
        <v>917</v>
      </c>
      <c r="E522" s="8" t="s">
        <v>647</v>
      </c>
      <c r="F522" s="4" t="s">
        <v>648</v>
      </c>
      <c r="G522" s="38">
        <v>44</v>
      </c>
      <c r="H522" s="38">
        <v>54</v>
      </c>
      <c r="I522" s="38">
        <v>48</v>
      </c>
      <c r="J522" s="37" t="s">
        <v>2902</v>
      </c>
      <c r="K522" s="52">
        <v>12</v>
      </c>
      <c r="L522" s="38">
        <v>21</v>
      </c>
      <c r="M522" s="38">
        <v>49</v>
      </c>
      <c r="N522" s="37" t="s">
        <v>2903</v>
      </c>
      <c r="O522" s="27" t="s">
        <v>403</v>
      </c>
      <c r="P522" s="26" t="s">
        <v>277</v>
      </c>
      <c r="Q522" s="27" t="s">
        <v>346</v>
      </c>
      <c r="R522" s="28"/>
      <c r="S522" s="28"/>
      <c r="T522" s="28" t="s">
        <v>649</v>
      </c>
      <c r="U522" s="45">
        <f t="shared" si="21"/>
        <v>0</v>
      </c>
    </row>
    <row r="523" spans="1:23" x14ac:dyDescent="0.25">
      <c r="A523" s="228" t="s">
        <v>1762</v>
      </c>
      <c r="B523" s="37" t="s">
        <v>128</v>
      </c>
      <c r="C523" s="49" t="s">
        <v>99</v>
      </c>
      <c r="D523" s="144" t="s">
        <v>917</v>
      </c>
      <c r="E523" s="49" t="s">
        <v>2610</v>
      </c>
      <c r="F523" s="49" t="s">
        <v>2609</v>
      </c>
      <c r="G523" s="145">
        <v>45</v>
      </c>
      <c r="H523" s="145">
        <v>2</v>
      </c>
      <c r="I523" s="145">
        <v>0</v>
      </c>
      <c r="J523" s="37" t="s">
        <v>2902</v>
      </c>
      <c r="K523" s="146">
        <v>11</v>
      </c>
      <c r="L523" s="145">
        <v>49</v>
      </c>
      <c r="M523" s="145">
        <v>0</v>
      </c>
      <c r="N523" s="37" t="s">
        <v>2903</v>
      </c>
      <c r="O523" s="147">
        <v>1</v>
      </c>
      <c r="P523" s="26" t="s">
        <v>187</v>
      </c>
      <c r="Q523" s="28" t="s">
        <v>491</v>
      </c>
      <c r="S523" s="27"/>
      <c r="T523" s="28" t="s">
        <v>2611</v>
      </c>
      <c r="U523" s="45">
        <f t="shared" si="21"/>
        <v>3.28</v>
      </c>
    </row>
    <row r="524" spans="1:23" x14ac:dyDescent="0.25">
      <c r="A524" s="228" t="s">
        <v>1828</v>
      </c>
      <c r="B524" s="273" t="s">
        <v>70</v>
      </c>
      <c r="C524" s="259" t="s">
        <v>99</v>
      </c>
      <c r="D524" s="273" t="s">
        <v>1351</v>
      </c>
      <c r="E524" s="259" t="s">
        <v>1205</v>
      </c>
      <c r="F524" s="259" t="s">
        <v>1206</v>
      </c>
      <c r="G524" s="274">
        <v>45</v>
      </c>
      <c r="H524" s="274">
        <v>42</v>
      </c>
      <c r="I524" s="274">
        <v>12</v>
      </c>
      <c r="J524" s="275" t="s">
        <v>2902</v>
      </c>
      <c r="K524" s="276">
        <v>13</v>
      </c>
      <c r="L524" s="274">
        <v>45</v>
      </c>
      <c r="M524" s="274">
        <v>35</v>
      </c>
      <c r="N524" s="273" t="s">
        <v>2903</v>
      </c>
      <c r="O524" s="277">
        <v>260</v>
      </c>
      <c r="P524" s="260" t="s">
        <v>247</v>
      </c>
      <c r="Q524" s="261" t="s">
        <v>271</v>
      </c>
      <c r="R524" s="262" t="s">
        <v>171</v>
      </c>
      <c r="S524" s="263"/>
      <c r="T524" s="263" t="s">
        <v>1207</v>
      </c>
      <c r="U524" s="264">
        <f t="shared" si="21"/>
        <v>852.8</v>
      </c>
      <c r="V524" s="259"/>
      <c r="W524" s="259"/>
    </row>
    <row r="525" spans="1:23" x14ac:dyDescent="0.25">
      <c r="A525" s="228" t="s">
        <v>1829</v>
      </c>
      <c r="B525" s="5" t="s">
        <v>70</v>
      </c>
      <c r="C525" s="4" t="s">
        <v>99</v>
      </c>
      <c r="D525" s="5" t="s">
        <v>918</v>
      </c>
      <c r="E525" s="4" t="s">
        <v>36</v>
      </c>
      <c r="F525" s="4" t="s">
        <v>2049</v>
      </c>
      <c r="G525" s="32">
        <v>45</v>
      </c>
      <c r="H525" s="32">
        <v>45</v>
      </c>
      <c r="I525" s="32">
        <v>30</v>
      </c>
      <c r="J525" s="5" t="s">
        <v>2902</v>
      </c>
      <c r="K525" s="51">
        <v>11</v>
      </c>
      <c r="L525" s="32">
        <v>53</v>
      </c>
      <c r="M525" s="32">
        <v>46</v>
      </c>
      <c r="N525" s="5" t="s">
        <v>2903</v>
      </c>
      <c r="O525" s="33" t="s">
        <v>408</v>
      </c>
      <c r="P525" s="26" t="s">
        <v>214</v>
      </c>
      <c r="Q525" s="27" t="s">
        <v>222</v>
      </c>
      <c r="R525" s="28"/>
      <c r="S525" s="28"/>
      <c r="T525" s="28" t="s">
        <v>1988</v>
      </c>
      <c r="U525" s="45">
        <f t="shared" si="21"/>
        <v>255.83999999999997</v>
      </c>
    </row>
    <row r="526" spans="1:23" x14ac:dyDescent="0.25">
      <c r="A526" s="228" t="s">
        <v>1830</v>
      </c>
      <c r="B526" s="37" t="s">
        <v>70</v>
      </c>
      <c r="C526" s="8" t="s">
        <v>99</v>
      </c>
      <c r="D526" s="37" t="s">
        <v>918</v>
      </c>
      <c r="E526" s="8" t="s">
        <v>666</v>
      </c>
      <c r="F526" s="8" t="s">
        <v>667</v>
      </c>
      <c r="G526" s="38">
        <v>45</v>
      </c>
      <c r="H526" s="38">
        <v>46</v>
      </c>
      <c r="I526" s="38">
        <v>18</v>
      </c>
      <c r="J526" s="37" t="s">
        <v>2902</v>
      </c>
      <c r="K526" s="52">
        <v>11</v>
      </c>
      <c r="L526" s="38">
        <v>59</v>
      </c>
      <c r="M526" s="38">
        <v>48</v>
      </c>
      <c r="N526" s="37" t="s">
        <v>2903</v>
      </c>
      <c r="O526" s="27" t="s">
        <v>250</v>
      </c>
      <c r="P526" s="26" t="s">
        <v>206</v>
      </c>
      <c r="Q526" s="27" t="s">
        <v>404</v>
      </c>
      <c r="R526" s="28"/>
      <c r="S526" s="28"/>
      <c r="T526" s="28" t="s">
        <v>2114</v>
      </c>
      <c r="U526" s="45">
        <f t="shared" si="21"/>
        <v>328</v>
      </c>
    </row>
    <row r="527" spans="1:23" x14ac:dyDescent="0.25">
      <c r="A527" s="228" t="s">
        <v>1831</v>
      </c>
      <c r="B527" s="37" t="s">
        <v>70</v>
      </c>
      <c r="C527" s="8" t="s">
        <v>99</v>
      </c>
      <c r="D527" s="37" t="s">
        <v>918</v>
      </c>
      <c r="E527" s="8" t="s">
        <v>2285</v>
      </c>
      <c r="F527" s="8" t="s">
        <v>2286</v>
      </c>
      <c r="G527" s="38">
        <v>45</v>
      </c>
      <c r="H527" s="38">
        <v>37</v>
      </c>
      <c r="I527" s="38">
        <v>4</v>
      </c>
      <c r="J527" s="37" t="s">
        <v>2902</v>
      </c>
      <c r="K527" s="52">
        <v>12</v>
      </c>
      <c r="L527" s="38">
        <v>20</v>
      </c>
      <c r="M527" s="38">
        <v>53</v>
      </c>
      <c r="N527" s="37" t="s">
        <v>2903</v>
      </c>
      <c r="O527" s="27"/>
      <c r="P527" s="26" t="s">
        <v>251</v>
      </c>
      <c r="Q527" s="27" t="s">
        <v>218</v>
      </c>
      <c r="R527" s="28"/>
      <c r="S527" s="28"/>
      <c r="T527" s="28" t="s">
        <v>2287</v>
      </c>
      <c r="U527" s="45" t="str">
        <f t="shared" si="21"/>
        <v/>
      </c>
    </row>
    <row r="528" spans="1:23" x14ac:dyDescent="0.25">
      <c r="A528" s="228" t="s">
        <v>1832</v>
      </c>
      <c r="B528" s="37" t="s">
        <v>70</v>
      </c>
      <c r="C528" s="8" t="s">
        <v>99</v>
      </c>
      <c r="D528" s="37" t="s">
        <v>918</v>
      </c>
      <c r="E528" s="8" t="s">
        <v>637</v>
      </c>
      <c r="F528" s="8" t="s">
        <v>1204</v>
      </c>
      <c r="G528" s="38">
        <v>45</v>
      </c>
      <c r="H528" s="38">
        <v>51</v>
      </c>
      <c r="I528" s="38">
        <v>30</v>
      </c>
      <c r="J528" s="37" t="s">
        <v>2902</v>
      </c>
      <c r="K528" s="52">
        <v>12</v>
      </c>
      <c r="L528" s="38">
        <v>26</v>
      </c>
      <c r="M528" s="38">
        <v>0</v>
      </c>
      <c r="N528" s="37" t="s">
        <v>2903</v>
      </c>
      <c r="O528" s="27" t="s">
        <v>638</v>
      </c>
      <c r="P528" s="26" t="s">
        <v>206</v>
      </c>
      <c r="Q528" s="27" t="s">
        <v>469</v>
      </c>
      <c r="R528" s="28" t="s">
        <v>171</v>
      </c>
      <c r="S528" s="28"/>
      <c r="T528" s="28" t="s">
        <v>1983</v>
      </c>
      <c r="U528" s="45">
        <f t="shared" si="21"/>
        <v>170.56</v>
      </c>
    </row>
    <row r="529" spans="1:23" x14ac:dyDescent="0.25">
      <c r="A529" s="228" t="s">
        <v>1833</v>
      </c>
      <c r="B529" s="37" t="s">
        <v>70</v>
      </c>
      <c r="C529" s="8" t="s">
        <v>99</v>
      </c>
      <c r="D529" s="37" t="s">
        <v>918</v>
      </c>
      <c r="E529" s="8" t="s">
        <v>2288</v>
      </c>
      <c r="F529" s="8" t="s">
        <v>2289</v>
      </c>
      <c r="G529" s="38">
        <v>45</v>
      </c>
      <c r="H529" s="38">
        <v>53</v>
      </c>
      <c r="I529" s="38">
        <v>36</v>
      </c>
      <c r="J529" s="37" t="s">
        <v>2902</v>
      </c>
      <c r="K529" s="52">
        <v>12</v>
      </c>
      <c r="L529" s="38">
        <v>8</v>
      </c>
      <c r="M529" s="38">
        <v>4</v>
      </c>
      <c r="N529" s="37" t="s">
        <v>2903</v>
      </c>
      <c r="O529" s="27">
        <v>150</v>
      </c>
      <c r="P529" s="26" t="s">
        <v>258</v>
      </c>
      <c r="Q529" s="27" t="s">
        <v>512</v>
      </c>
      <c r="R529" s="28"/>
      <c r="S529" s="28"/>
      <c r="T529" s="28" t="s">
        <v>2290</v>
      </c>
      <c r="U529" s="45">
        <f t="shared" si="21"/>
        <v>491.99999999999994</v>
      </c>
    </row>
    <row r="530" spans="1:23" x14ac:dyDescent="0.25">
      <c r="A530" s="228" t="s">
        <v>1834</v>
      </c>
      <c r="B530" s="37" t="s">
        <v>128</v>
      </c>
      <c r="C530" s="8" t="s">
        <v>99</v>
      </c>
      <c r="D530" s="37" t="s">
        <v>918</v>
      </c>
      <c r="E530" s="8" t="s">
        <v>2258</v>
      </c>
      <c r="F530" s="8" t="s">
        <v>2259</v>
      </c>
      <c r="G530" s="38">
        <v>45</v>
      </c>
      <c r="H530" s="38">
        <v>47</v>
      </c>
      <c r="I530" s="38">
        <v>0</v>
      </c>
      <c r="J530" s="37" t="s">
        <v>2902</v>
      </c>
      <c r="K530" s="52">
        <v>12</v>
      </c>
      <c r="L530" s="38">
        <v>19</v>
      </c>
      <c r="M530" s="38">
        <v>33</v>
      </c>
      <c r="N530" s="37" t="s">
        <v>2903</v>
      </c>
      <c r="O530" s="27"/>
      <c r="P530" s="26" t="s">
        <v>232</v>
      </c>
      <c r="Q530" s="27" t="s">
        <v>2260</v>
      </c>
      <c r="R530" s="28"/>
      <c r="S530" s="28"/>
      <c r="T530" s="28" t="s">
        <v>2261</v>
      </c>
      <c r="U530" s="45" t="str">
        <f t="shared" si="21"/>
        <v/>
      </c>
    </row>
    <row r="531" spans="1:23" x14ac:dyDescent="0.25">
      <c r="A531" s="228" t="s">
        <v>1835</v>
      </c>
      <c r="B531" s="43" t="s">
        <v>70</v>
      </c>
      <c r="C531" s="4" t="s">
        <v>99</v>
      </c>
      <c r="D531" s="43" t="s">
        <v>918</v>
      </c>
      <c r="E531" s="41" t="s">
        <v>37</v>
      </c>
      <c r="F531" s="41" t="s">
        <v>38</v>
      </c>
      <c r="G531" s="42">
        <v>45</v>
      </c>
      <c r="H531" s="42">
        <v>50</v>
      </c>
      <c r="I531" s="42">
        <v>54</v>
      </c>
      <c r="J531" s="60" t="s">
        <v>2902</v>
      </c>
      <c r="K531" s="56">
        <v>12</v>
      </c>
      <c r="L531" s="42">
        <v>20</v>
      </c>
      <c r="M531" s="42">
        <v>7</v>
      </c>
      <c r="N531" s="5" t="s">
        <v>2903</v>
      </c>
      <c r="O531" s="40">
        <v>50</v>
      </c>
      <c r="P531" s="26" t="s">
        <v>206</v>
      </c>
      <c r="Q531" s="27" t="s">
        <v>2615</v>
      </c>
      <c r="R531" s="28"/>
      <c r="S531" s="28"/>
      <c r="T531" s="28" t="s">
        <v>2616</v>
      </c>
      <c r="U531" s="45">
        <f t="shared" si="21"/>
        <v>164</v>
      </c>
    </row>
    <row r="532" spans="1:23" x14ac:dyDescent="0.25">
      <c r="A532" s="228" t="s">
        <v>1836</v>
      </c>
      <c r="B532" s="37" t="s">
        <v>70</v>
      </c>
      <c r="C532" s="8" t="s">
        <v>99</v>
      </c>
      <c r="D532" s="37" t="s">
        <v>918</v>
      </c>
      <c r="E532" s="8" t="s">
        <v>2291</v>
      </c>
      <c r="F532" s="8" t="s">
        <v>2292</v>
      </c>
      <c r="G532" s="38">
        <v>45</v>
      </c>
      <c r="H532" s="38">
        <v>45</v>
      </c>
      <c r="I532" s="38">
        <v>35</v>
      </c>
      <c r="J532" s="37" t="s">
        <v>2902</v>
      </c>
      <c r="K532" s="52">
        <v>12</v>
      </c>
      <c r="L532" s="38">
        <v>2</v>
      </c>
      <c r="M532" s="38">
        <v>40</v>
      </c>
      <c r="N532" s="37" t="s">
        <v>2903</v>
      </c>
      <c r="O532" s="27"/>
      <c r="P532" s="26" t="s">
        <v>214</v>
      </c>
      <c r="Q532" s="27" t="s">
        <v>2293</v>
      </c>
      <c r="R532" s="28"/>
      <c r="S532" s="28"/>
      <c r="U532" s="45" t="str">
        <f t="shared" si="21"/>
        <v/>
      </c>
    </row>
    <row r="533" spans="1:23" x14ac:dyDescent="0.25">
      <c r="A533" s="228" t="s">
        <v>1837</v>
      </c>
      <c r="B533" s="5" t="s">
        <v>128</v>
      </c>
      <c r="C533" s="8" t="s">
        <v>99</v>
      </c>
      <c r="D533" s="5" t="s">
        <v>918</v>
      </c>
      <c r="E533" s="4" t="s">
        <v>2262</v>
      </c>
      <c r="F533" s="4" t="s">
        <v>2263</v>
      </c>
      <c r="G533" s="32">
        <v>45</v>
      </c>
      <c r="H533" s="32">
        <v>50</v>
      </c>
      <c r="I533" s="32">
        <v>23</v>
      </c>
      <c r="J533" s="5" t="s">
        <v>2902</v>
      </c>
      <c r="K533" s="51">
        <v>12</v>
      </c>
      <c r="L533" s="32">
        <v>11</v>
      </c>
      <c r="M533" s="32">
        <v>38</v>
      </c>
      <c r="N533" s="37" t="s">
        <v>2903</v>
      </c>
      <c r="O533" s="33">
        <v>80</v>
      </c>
      <c r="P533" s="26" t="s">
        <v>232</v>
      </c>
      <c r="Q533" s="27" t="s">
        <v>2875</v>
      </c>
      <c r="R533" s="28"/>
      <c r="S533" s="28"/>
      <c r="T533" s="28" t="s">
        <v>2264</v>
      </c>
      <c r="U533" s="45">
        <f t="shared" si="21"/>
        <v>262.39999999999998</v>
      </c>
    </row>
    <row r="534" spans="1:23" s="247" customFormat="1" x14ac:dyDescent="0.25">
      <c r="A534" s="228" t="s">
        <v>1838</v>
      </c>
      <c r="B534" s="5" t="s">
        <v>128</v>
      </c>
      <c r="C534" s="8" t="s">
        <v>99</v>
      </c>
      <c r="D534" s="5" t="s">
        <v>918</v>
      </c>
      <c r="E534" s="4" t="s">
        <v>39</v>
      </c>
      <c r="F534" s="4" t="s">
        <v>2050</v>
      </c>
      <c r="G534" s="32">
        <v>45</v>
      </c>
      <c r="H534" s="32">
        <v>42</v>
      </c>
      <c r="I534" s="32">
        <v>12</v>
      </c>
      <c r="J534" s="5" t="s">
        <v>2902</v>
      </c>
      <c r="K534" s="51">
        <v>12</v>
      </c>
      <c r="L534" s="32">
        <v>32</v>
      </c>
      <c r="M534" s="32">
        <v>11</v>
      </c>
      <c r="N534" s="37" t="s">
        <v>2903</v>
      </c>
      <c r="O534" s="33" t="s">
        <v>535</v>
      </c>
      <c r="P534" s="26" t="s">
        <v>232</v>
      </c>
      <c r="Q534" s="27" t="s">
        <v>536</v>
      </c>
      <c r="R534" s="28" t="s">
        <v>537</v>
      </c>
      <c r="S534" s="28"/>
      <c r="T534" s="28" t="s">
        <v>1987</v>
      </c>
      <c r="U534" s="45">
        <f t="shared" si="21"/>
        <v>19.68</v>
      </c>
      <c r="V534" s="8"/>
      <c r="W534" s="8"/>
    </row>
    <row r="535" spans="1:23" x14ac:dyDescent="0.25">
      <c r="A535" s="228" t="s">
        <v>1839</v>
      </c>
      <c r="B535" s="37" t="s">
        <v>70</v>
      </c>
      <c r="C535" s="8" t="s">
        <v>99</v>
      </c>
      <c r="D535" s="37" t="s">
        <v>918</v>
      </c>
      <c r="E535" s="8" t="s">
        <v>2294</v>
      </c>
      <c r="F535" s="8" t="s">
        <v>2295</v>
      </c>
      <c r="G535" s="38">
        <v>45</v>
      </c>
      <c r="H535" s="38">
        <v>49</v>
      </c>
      <c r="I535" s="38">
        <v>29</v>
      </c>
      <c r="J535" s="37" t="s">
        <v>2902</v>
      </c>
      <c r="K535" s="52">
        <v>12</v>
      </c>
      <c r="L535" s="38">
        <v>16</v>
      </c>
      <c r="M535" s="38">
        <v>26</v>
      </c>
      <c r="N535" s="37" t="s">
        <v>2903</v>
      </c>
      <c r="O535" s="27">
        <v>59</v>
      </c>
      <c r="P535" s="26" t="s">
        <v>204</v>
      </c>
      <c r="Q535" s="27" t="s">
        <v>226</v>
      </c>
      <c r="R535" s="28"/>
      <c r="S535" s="28"/>
      <c r="T535" s="28" t="s">
        <v>2296</v>
      </c>
      <c r="U535" s="45">
        <f t="shared" si="21"/>
        <v>193.51999999999998</v>
      </c>
    </row>
    <row r="536" spans="1:23" x14ac:dyDescent="0.25">
      <c r="A536" s="228" t="s">
        <v>1840</v>
      </c>
      <c r="B536" s="5" t="s">
        <v>70</v>
      </c>
      <c r="C536" s="4" t="s">
        <v>99</v>
      </c>
      <c r="D536" s="5" t="s">
        <v>918</v>
      </c>
      <c r="E536" s="4" t="s">
        <v>635</v>
      </c>
      <c r="F536" s="4" t="s">
        <v>2051</v>
      </c>
      <c r="G536" s="32">
        <v>45</v>
      </c>
      <c r="H536" s="32">
        <v>45</v>
      </c>
      <c r="I536" s="32">
        <v>42</v>
      </c>
      <c r="J536" s="5" t="s">
        <v>2902</v>
      </c>
      <c r="K536" s="51">
        <v>12</v>
      </c>
      <c r="L536" s="32">
        <v>9</v>
      </c>
      <c r="M536" s="32">
        <v>48</v>
      </c>
      <c r="N536" s="5" t="s">
        <v>2903</v>
      </c>
      <c r="O536" s="33" t="s">
        <v>250</v>
      </c>
      <c r="P536" s="26" t="s">
        <v>187</v>
      </c>
      <c r="Q536" s="27" t="s">
        <v>282</v>
      </c>
      <c r="R536" s="28"/>
      <c r="S536" s="28"/>
      <c r="T536" s="28" t="s">
        <v>48</v>
      </c>
      <c r="U536" s="45">
        <f t="shared" si="21"/>
        <v>328</v>
      </c>
    </row>
    <row r="537" spans="1:23" x14ac:dyDescent="0.25">
      <c r="A537" s="228" t="s">
        <v>1841</v>
      </c>
      <c r="B537" s="37" t="s">
        <v>70</v>
      </c>
      <c r="C537" s="8" t="s">
        <v>99</v>
      </c>
      <c r="D537" s="37" t="s">
        <v>918</v>
      </c>
      <c r="E537" s="8" t="s">
        <v>40</v>
      </c>
      <c r="F537" s="8" t="s">
        <v>3055</v>
      </c>
      <c r="G537" s="38">
        <v>45</v>
      </c>
      <c r="H537" s="38">
        <v>46</v>
      </c>
      <c r="I537" s="38">
        <v>10</v>
      </c>
      <c r="J537" s="37" t="s">
        <v>2902</v>
      </c>
      <c r="K537" s="52">
        <v>12</v>
      </c>
      <c r="L537" s="38">
        <v>14</v>
      </c>
      <c r="M537" s="38">
        <v>43</v>
      </c>
      <c r="N537" s="37" t="s">
        <v>2903</v>
      </c>
      <c r="O537" s="27" t="s">
        <v>414</v>
      </c>
      <c r="P537" s="26" t="s">
        <v>206</v>
      </c>
      <c r="Q537" s="27" t="s">
        <v>415</v>
      </c>
      <c r="R537" s="28"/>
      <c r="S537" s="28"/>
      <c r="T537" s="28" t="s">
        <v>2217</v>
      </c>
      <c r="U537" s="45">
        <f t="shared" ref="U537:U545" si="22">IF(O537&lt;&gt;"",O537*3.28,"")</f>
        <v>183.67999999999998</v>
      </c>
    </row>
    <row r="538" spans="1:23" x14ac:dyDescent="0.25">
      <c r="A538" s="228" t="s">
        <v>1842</v>
      </c>
      <c r="B538" s="37" t="s">
        <v>124</v>
      </c>
      <c r="C538" s="8" t="s">
        <v>99</v>
      </c>
      <c r="D538" s="37" t="s">
        <v>918</v>
      </c>
      <c r="E538" s="8" t="s">
        <v>2226</v>
      </c>
      <c r="F538" s="8" t="s">
        <v>2227</v>
      </c>
      <c r="G538" s="38">
        <v>45</v>
      </c>
      <c r="H538" s="38">
        <v>38</v>
      </c>
      <c r="I538" s="38">
        <v>52</v>
      </c>
      <c r="J538" s="37" t="s">
        <v>2902</v>
      </c>
      <c r="K538" s="52">
        <v>12</v>
      </c>
      <c r="L538" s="38">
        <v>11</v>
      </c>
      <c r="M538" s="38">
        <v>39</v>
      </c>
      <c r="N538" s="37" t="s">
        <v>2903</v>
      </c>
      <c r="O538" s="27">
        <v>16</v>
      </c>
      <c r="P538" s="26" t="s">
        <v>251</v>
      </c>
      <c r="Q538" s="27" t="s">
        <v>2889</v>
      </c>
      <c r="R538" s="28" t="s">
        <v>2623</v>
      </c>
      <c r="S538" s="28"/>
      <c r="T538" s="28" t="s">
        <v>2228</v>
      </c>
      <c r="U538" s="45">
        <f t="shared" si="22"/>
        <v>52.48</v>
      </c>
    </row>
    <row r="539" spans="1:23" x14ac:dyDescent="0.25">
      <c r="A539" s="228" t="s">
        <v>1843</v>
      </c>
      <c r="B539" s="267" t="s">
        <v>124</v>
      </c>
      <c r="C539" s="268" t="s">
        <v>99</v>
      </c>
      <c r="D539" s="267" t="s">
        <v>918</v>
      </c>
      <c r="E539" s="224" t="s">
        <v>1302</v>
      </c>
      <c r="F539" s="224" t="s">
        <v>1202</v>
      </c>
      <c r="G539" s="269">
        <v>45</v>
      </c>
      <c r="H539" s="269" t="s">
        <v>345</v>
      </c>
      <c r="I539" s="269">
        <v>54</v>
      </c>
      <c r="J539" s="270" t="s">
        <v>2902</v>
      </c>
      <c r="K539" s="271" t="s">
        <v>324</v>
      </c>
      <c r="L539" s="269" t="s">
        <v>1203</v>
      </c>
      <c r="M539" s="269">
        <v>12</v>
      </c>
      <c r="N539" s="267" t="s">
        <v>2903</v>
      </c>
      <c r="O539" s="272"/>
      <c r="P539" s="260"/>
      <c r="Q539" s="261" t="s">
        <v>442</v>
      </c>
      <c r="R539" s="262"/>
      <c r="S539" s="263"/>
      <c r="T539" s="263"/>
      <c r="U539" s="264" t="str">
        <f t="shared" si="22"/>
        <v/>
      </c>
      <c r="V539" s="259"/>
      <c r="W539" s="259"/>
    </row>
    <row r="540" spans="1:23" x14ac:dyDescent="0.25">
      <c r="A540" s="228" t="s">
        <v>1844</v>
      </c>
      <c r="B540" s="37" t="s">
        <v>128</v>
      </c>
      <c r="C540" s="8" t="s">
        <v>99</v>
      </c>
      <c r="D540" s="37" t="s">
        <v>918</v>
      </c>
      <c r="E540" s="8" t="s">
        <v>41</v>
      </c>
      <c r="F540" s="8" t="s">
        <v>2048</v>
      </c>
      <c r="G540" s="38">
        <v>45</v>
      </c>
      <c r="H540" s="38">
        <v>51</v>
      </c>
      <c r="I540" s="38">
        <v>23</v>
      </c>
      <c r="J540" s="37" t="s">
        <v>2902</v>
      </c>
      <c r="K540" s="52">
        <v>12</v>
      </c>
      <c r="L540" s="38">
        <v>4</v>
      </c>
      <c r="M540" s="38">
        <v>10</v>
      </c>
      <c r="N540" s="37" t="s">
        <v>2903</v>
      </c>
      <c r="O540" s="27" t="s">
        <v>444</v>
      </c>
      <c r="P540" s="26" t="s">
        <v>275</v>
      </c>
      <c r="Q540" s="27" t="s">
        <v>271</v>
      </c>
      <c r="R540" s="28" t="s">
        <v>461</v>
      </c>
      <c r="S540" s="28"/>
      <c r="T540" s="28" t="s">
        <v>1982</v>
      </c>
      <c r="U540" s="45">
        <f t="shared" si="22"/>
        <v>482.15999999999997</v>
      </c>
    </row>
    <row r="541" spans="1:23" x14ac:dyDescent="0.25">
      <c r="A541" s="228" t="s">
        <v>1845</v>
      </c>
      <c r="B541" s="37" t="s">
        <v>70</v>
      </c>
      <c r="C541" s="8" t="s">
        <v>99</v>
      </c>
      <c r="D541" s="37" t="s">
        <v>918</v>
      </c>
      <c r="E541" s="8" t="s">
        <v>2297</v>
      </c>
      <c r="F541" s="8" t="s">
        <v>2298</v>
      </c>
      <c r="G541" s="38">
        <v>45</v>
      </c>
      <c r="H541" s="38">
        <v>55</v>
      </c>
      <c r="I541" s="38">
        <v>52</v>
      </c>
      <c r="J541" s="37" t="s">
        <v>2902</v>
      </c>
      <c r="K541" s="52">
        <v>12</v>
      </c>
      <c r="L541" s="38">
        <v>15</v>
      </c>
      <c r="M541" s="38">
        <v>17</v>
      </c>
      <c r="N541" s="37" t="s">
        <v>2903</v>
      </c>
      <c r="O541" s="27">
        <v>80</v>
      </c>
      <c r="P541" s="26" t="s">
        <v>238</v>
      </c>
      <c r="Q541" s="27" t="s">
        <v>533</v>
      </c>
      <c r="R541" s="28"/>
      <c r="S541" s="28"/>
      <c r="T541" s="28" t="s">
        <v>2299</v>
      </c>
      <c r="U541" s="45">
        <f t="shared" si="22"/>
        <v>262.39999999999998</v>
      </c>
    </row>
    <row r="542" spans="1:23" x14ac:dyDescent="0.25">
      <c r="A542" s="228" t="s">
        <v>1872</v>
      </c>
      <c r="B542" s="37" t="s">
        <v>70</v>
      </c>
      <c r="C542" s="8" t="s">
        <v>99</v>
      </c>
      <c r="D542" s="37" t="s">
        <v>919</v>
      </c>
      <c r="E542" s="8" t="s">
        <v>46</v>
      </c>
      <c r="F542" s="8" t="s">
        <v>47</v>
      </c>
      <c r="G542" s="38">
        <v>45</v>
      </c>
      <c r="H542" s="38">
        <v>19</v>
      </c>
      <c r="I542" s="38">
        <v>2</v>
      </c>
      <c r="J542" s="37" t="s">
        <v>2902</v>
      </c>
      <c r="K542" s="52">
        <v>12</v>
      </c>
      <c r="L542" s="38">
        <v>3</v>
      </c>
      <c r="M542" s="38">
        <v>21</v>
      </c>
      <c r="N542" s="37" t="s">
        <v>2903</v>
      </c>
      <c r="O542" s="27" t="s">
        <v>255</v>
      </c>
      <c r="P542" s="26" t="s">
        <v>206</v>
      </c>
      <c r="Q542" s="27" t="s">
        <v>512</v>
      </c>
      <c r="R542" s="28"/>
      <c r="S542" s="28"/>
      <c r="T542" s="28" t="s">
        <v>2222</v>
      </c>
      <c r="U542" s="45">
        <f t="shared" si="22"/>
        <v>6.56</v>
      </c>
    </row>
    <row r="543" spans="1:23" x14ac:dyDescent="0.25">
      <c r="A543" s="228" t="s">
        <v>1873</v>
      </c>
      <c r="B543" s="37" t="s">
        <v>70</v>
      </c>
      <c r="C543" s="8" t="s">
        <v>99</v>
      </c>
      <c r="D543" s="37" t="s">
        <v>919</v>
      </c>
      <c r="E543" s="8" t="s">
        <v>542</v>
      </c>
      <c r="F543" s="4" t="s">
        <v>543</v>
      </c>
      <c r="G543" s="38">
        <v>45</v>
      </c>
      <c r="H543" s="38">
        <v>38</v>
      </c>
      <c r="I543" s="38">
        <v>22</v>
      </c>
      <c r="J543" s="37" t="s">
        <v>2902</v>
      </c>
      <c r="K543" s="52">
        <v>12</v>
      </c>
      <c r="L543" s="38">
        <v>56</v>
      </c>
      <c r="M543" s="38">
        <v>37</v>
      </c>
      <c r="N543" s="37" t="s">
        <v>2903</v>
      </c>
      <c r="O543" s="27" t="s">
        <v>403</v>
      </c>
      <c r="P543" s="26" t="s">
        <v>206</v>
      </c>
      <c r="Q543" s="27" t="s">
        <v>256</v>
      </c>
      <c r="R543" s="28"/>
      <c r="S543" s="28"/>
      <c r="T543" s="28" t="s">
        <v>544</v>
      </c>
      <c r="U543" s="45">
        <f t="shared" si="22"/>
        <v>0</v>
      </c>
    </row>
    <row r="544" spans="1:23" x14ac:dyDescent="0.25">
      <c r="A544" s="228" t="s">
        <v>1874</v>
      </c>
      <c r="B544" s="37" t="s">
        <v>70</v>
      </c>
      <c r="C544" s="8" t="s">
        <v>99</v>
      </c>
      <c r="D544" s="37" t="s">
        <v>919</v>
      </c>
      <c r="E544" s="8" t="s">
        <v>49</v>
      </c>
      <c r="F544" s="8" t="s">
        <v>71</v>
      </c>
      <c r="G544" s="38">
        <v>45</v>
      </c>
      <c r="H544" s="38">
        <v>35</v>
      </c>
      <c r="I544" s="38">
        <v>39</v>
      </c>
      <c r="J544" s="37" t="s">
        <v>2902</v>
      </c>
      <c r="K544" s="52">
        <v>12</v>
      </c>
      <c r="L544" s="38">
        <v>16</v>
      </c>
      <c r="M544" s="38">
        <v>2</v>
      </c>
      <c r="N544" s="37" t="s">
        <v>2903</v>
      </c>
      <c r="O544" s="27" t="s">
        <v>324</v>
      </c>
      <c r="P544" s="26" t="s">
        <v>206</v>
      </c>
      <c r="Q544" s="27" t="s">
        <v>293</v>
      </c>
      <c r="R544" s="28"/>
      <c r="S544" s="28"/>
      <c r="T544" s="28" t="s">
        <v>1984</v>
      </c>
      <c r="U544" s="45">
        <f t="shared" si="22"/>
        <v>39.36</v>
      </c>
    </row>
    <row r="545" spans="1:23" x14ac:dyDescent="0.25">
      <c r="A545" s="228" t="s">
        <v>1875</v>
      </c>
      <c r="B545" s="37" t="s">
        <v>70</v>
      </c>
      <c r="C545" s="8" t="s">
        <v>99</v>
      </c>
      <c r="D545" s="37" t="s">
        <v>919</v>
      </c>
      <c r="E545" s="8" t="s">
        <v>50</v>
      </c>
      <c r="F545" s="8" t="s">
        <v>72</v>
      </c>
      <c r="G545" s="38">
        <v>45</v>
      </c>
      <c r="H545" s="38">
        <v>37</v>
      </c>
      <c r="I545" s="38">
        <v>40</v>
      </c>
      <c r="J545" s="37" t="s">
        <v>2902</v>
      </c>
      <c r="K545" s="52">
        <v>12</v>
      </c>
      <c r="L545" s="38">
        <v>42</v>
      </c>
      <c r="M545" s="38">
        <v>35</v>
      </c>
      <c r="N545" s="37" t="s">
        <v>2903</v>
      </c>
      <c r="O545" s="27" t="s">
        <v>285</v>
      </c>
      <c r="P545" s="26" t="s">
        <v>206</v>
      </c>
      <c r="Q545" s="27" t="s">
        <v>305</v>
      </c>
      <c r="R545" s="28"/>
      <c r="S545" s="28"/>
      <c r="T545" s="28" t="s">
        <v>2116</v>
      </c>
      <c r="U545" s="45">
        <f t="shared" si="22"/>
        <v>16.399999999999999</v>
      </c>
    </row>
    <row r="546" spans="1:23" x14ac:dyDescent="0.25">
      <c r="A546" s="228" t="s">
        <v>1876</v>
      </c>
      <c r="B546" s="37" t="s">
        <v>70</v>
      </c>
      <c r="C546" s="8" t="s">
        <v>99</v>
      </c>
      <c r="D546" s="37" t="s">
        <v>919</v>
      </c>
      <c r="E546" s="8" t="s">
        <v>2922</v>
      </c>
      <c r="F546" s="11" t="s">
        <v>2922</v>
      </c>
      <c r="G546" s="38">
        <v>45</v>
      </c>
      <c r="H546" s="38">
        <v>22</v>
      </c>
      <c r="I546" s="38">
        <v>33</v>
      </c>
      <c r="J546" s="37" t="s">
        <v>2902</v>
      </c>
      <c r="K546" s="52">
        <v>12</v>
      </c>
      <c r="L546" s="38">
        <v>2</v>
      </c>
      <c r="M546" s="38">
        <v>36</v>
      </c>
      <c r="N546" s="37" t="s">
        <v>2903</v>
      </c>
      <c r="O546" s="27">
        <v>5</v>
      </c>
      <c r="P546" s="26" t="s">
        <v>2923</v>
      </c>
      <c r="Q546" s="27" t="s">
        <v>2924</v>
      </c>
      <c r="R546" s="28"/>
      <c r="S546" s="28"/>
      <c r="T546" s="28" t="s">
        <v>2925</v>
      </c>
      <c r="U546" s="45"/>
    </row>
    <row r="547" spans="1:23" x14ac:dyDescent="0.25">
      <c r="A547" s="228" t="s">
        <v>1877</v>
      </c>
      <c r="B547" s="37" t="s">
        <v>70</v>
      </c>
      <c r="C547" s="8" t="s">
        <v>99</v>
      </c>
      <c r="D547" s="37" t="s">
        <v>919</v>
      </c>
      <c r="E547" s="8" t="s">
        <v>2300</v>
      </c>
      <c r="F547" s="8" t="s">
        <v>2301</v>
      </c>
      <c r="G547" s="38">
        <v>45</v>
      </c>
      <c r="H547" s="38">
        <v>27</v>
      </c>
      <c r="I547" s="38">
        <v>28</v>
      </c>
      <c r="J547" s="37" t="s">
        <v>2902</v>
      </c>
      <c r="K547" s="52">
        <v>12</v>
      </c>
      <c r="L547" s="38">
        <v>2</v>
      </c>
      <c r="M547" s="38">
        <v>26</v>
      </c>
      <c r="N547" s="37" t="s">
        <v>2903</v>
      </c>
      <c r="O547" s="27">
        <v>10</v>
      </c>
      <c r="P547" s="26" t="s">
        <v>206</v>
      </c>
      <c r="Q547" s="27" t="s">
        <v>595</v>
      </c>
      <c r="R547" s="28"/>
      <c r="S547" s="28"/>
      <c r="T547" s="28" t="s">
        <v>2302</v>
      </c>
      <c r="U547" s="45">
        <f t="shared" ref="U547:U575" si="23">IF(O547&lt;&gt;"",O547*3.28,"")</f>
        <v>32.799999999999997</v>
      </c>
    </row>
    <row r="548" spans="1:23" x14ac:dyDescent="0.25">
      <c r="A548" s="228" t="s">
        <v>1878</v>
      </c>
      <c r="B548" s="5" t="s">
        <v>70</v>
      </c>
      <c r="C548" s="4" t="s">
        <v>99</v>
      </c>
      <c r="D548" s="5" t="s">
        <v>919</v>
      </c>
      <c r="E548" s="4" t="s">
        <v>51</v>
      </c>
      <c r="F548" s="4" t="s">
        <v>52</v>
      </c>
      <c r="G548" s="32">
        <v>45</v>
      </c>
      <c r="H548" s="32">
        <v>48</v>
      </c>
      <c r="I548" s="32">
        <v>58</v>
      </c>
      <c r="J548" s="5" t="s">
        <v>2902</v>
      </c>
      <c r="K548" s="51">
        <v>12</v>
      </c>
      <c r="L548" s="32">
        <v>45</v>
      </c>
      <c r="M548" s="32">
        <v>8</v>
      </c>
      <c r="N548" s="5" t="s">
        <v>2903</v>
      </c>
      <c r="O548" s="33" t="s">
        <v>285</v>
      </c>
      <c r="P548" s="26" t="s">
        <v>247</v>
      </c>
      <c r="Q548" s="27" t="s">
        <v>416</v>
      </c>
      <c r="R548" s="28"/>
      <c r="S548" s="28"/>
      <c r="T548" s="28" t="s">
        <v>417</v>
      </c>
      <c r="U548" s="45">
        <f t="shared" si="23"/>
        <v>16.399999999999999</v>
      </c>
    </row>
    <row r="549" spans="1:23" x14ac:dyDescent="0.25">
      <c r="A549" s="228" t="s">
        <v>1879</v>
      </c>
      <c r="B549" s="37" t="s">
        <v>128</v>
      </c>
      <c r="C549" s="8" t="s">
        <v>99</v>
      </c>
      <c r="D549" s="5" t="s">
        <v>919</v>
      </c>
      <c r="E549" s="4" t="s">
        <v>300</v>
      </c>
      <c r="F549" s="4" t="s">
        <v>301</v>
      </c>
      <c r="G549" s="32">
        <v>45</v>
      </c>
      <c r="H549" s="32">
        <v>33</v>
      </c>
      <c r="I549" s="32">
        <v>56</v>
      </c>
      <c r="J549" s="37" t="s">
        <v>2902</v>
      </c>
      <c r="K549" s="51">
        <v>12</v>
      </c>
      <c r="L549" s="32">
        <v>34</v>
      </c>
      <c r="M549" s="32">
        <v>36</v>
      </c>
      <c r="N549" s="37" t="s">
        <v>2903</v>
      </c>
      <c r="O549" s="33" t="s">
        <v>302</v>
      </c>
      <c r="P549" s="26" t="s">
        <v>303</v>
      </c>
      <c r="Q549" s="27" t="s">
        <v>145</v>
      </c>
      <c r="R549" s="28"/>
      <c r="S549" s="28"/>
      <c r="T549" s="28" t="s">
        <v>304</v>
      </c>
      <c r="U549" s="45">
        <f t="shared" si="23"/>
        <v>3.28</v>
      </c>
    </row>
    <row r="550" spans="1:23" x14ac:dyDescent="0.25">
      <c r="A550" s="228" t="s">
        <v>1880</v>
      </c>
      <c r="B550" s="5" t="s">
        <v>128</v>
      </c>
      <c r="C550" s="4" t="s">
        <v>99</v>
      </c>
      <c r="D550" s="5" t="s">
        <v>919</v>
      </c>
      <c r="E550" s="4" t="s">
        <v>53</v>
      </c>
      <c r="F550" s="4" t="s">
        <v>54</v>
      </c>
      <c r="G550" s="32">
        <v>45</v>
      </c>
      <c r="H550" s="32">
        <v>44</v>
      </c>
      <c r="I550" s="32">
        <v>12</v>
      </c>
      <c r="J550" s="5" t="s">
        <v>2902</v>
      </c>
      <c r="K550" s="51">
        <v>12</v>
      </c>
      <c r="L550" s="32">
        <v>42</v>
      </c>
      <c r="M550" s="32">
        <v>20</v>
      </c>
      <c r="N550" s="5" t="s">
        <v>2903</v>
      </c>
      <c r="O550" s="33" t="s">
        <v>355</v>
      </c>
      <c r="P550" s="26" t="s">
        <v>225</v>
      </c>
      <c r="Q550" s="27" t="s">
        <v>357</v>
      </c>
      <c r="R550" s="28" t="s">
        <v>358</v>
      </c>
      <c r="S550" s="28"/>
      <c r="T550" s="28" t="s">
        <v>2269</v>
      </c>
      <c r="U550" s="45">
        <f t="shared" si="23"/>
        <v>32.799999999999997</v>
      </c>
    </row>
    <row r="551" spans="1:23" x14ac:dyDescent="0.25">
      <c r="A551" s="228" t="s">
        <v>1881</v>
      </c>
      <c r="B551" s="5" t="s">
        <v>70</v>
      </c>
      <c r="C551" s="4" t="s">
        <v>99</v>
      </c>
      <c r="D551" s="5" t="s">
        <v>919</v>
      </c>
      <c r="E551" s="4" t="s">
        <v>55</v>
      </c>
      <c r="F551" s="4" t="s">
        <v>182</v>
      </c>
      <c r="G551" s="32">
        <v>45</v>
      </c>
      <c r="H551" s="32">
        <v>29</v>
      </c>
      <c r="I551" s="32">
        <v>10</v>
      </c>
      <c r="J551" s="5" t="s">
        <v>2902</v>
      </c>
      <c r="K551" s="51">
        <v>12</v>
      </c>
      <c r="L551" s="32">
        <v>2</v>
      </c>
      <c r="M551" s="32">
        <v>0</v>
      </c>
      <c r="N551" s="5" t="s">
        <v>2903</v>
      </c>
      <c r="O551" s="33" t="s">
        <v>324</v>
      </c>
      <c r="P551" s="26" t="s">
        <v>187</v>
      </c>
      <c r="Q551" s="27" t="s">
        <v>476</v>
      </c>
      <c r="R551" s="28"/>
      <c r="S551" s="28"/>
      <c r="T551" s="28" t="s">
        <v>2115</v>
      </c>
      <c r="U551" s="45">
        <f t="shared" si="23"/>
        <v>39.36</v>
      </c>
    </row>
    <row r="552" spans="1:23" x14ac:dyDescent="0.25">
      <c r="A552" s="228" t="s">
        <v>1882</v>
      </c>
      <c r="B552" s="37" t="s">
        <v>124</v>
      </c>
      <c r="C552" s="8" t="s">
        <v>99</v>
      </c>
      <c r="D552" s="37" t="s">
        <v>919</v>
      </c>
      <c r="E552" s="8" t="s">
        <v>2229</v>
      </c>
      <c r="F552" s="8" t="s">
        <v>2230</v>
      </c>
      <c r="G552" s="38">
        <v>45</v>
      </c>
      <c r="H552" s="38">
        <v>25</v>
      </c>
      <c r="I552" s="38">
        <v>42</v>
      </c>
      <c r="J552" s="37" t="s">
        <v>2902</v>
      </c>
      <c r="K552" s="52">
        <v>12</v>
      </c>
      <c r="L552" s="38">
        <v>23</v>
      </c>
      <c r="M552" s="38">
        <v>17</v>
      </c>
      <c r="N552" s="37" t="s">
        <v>2903</v>
      </c>
      <c r="O552" s="27">
        <v>4</v>
      </c>
      <c r="P552" s="26" t="s">
        <v>238</v>
      </c>
      <c r="Q552" s="27" t="s">
        <v>2890</v>
      </c>
      <c r="R552" s="28" t="s">
        <v>2622</v>
      </c>
      <c r="S552" s="28"/>
      <c r="T552" s="28" t="s">
        <v>2231</v>
      </c>
      <c r="U552" s="45">
        <f t="shared" si="23"/>
        <v>13.12</v>
      </c>
    </row>
    <row r="553" spans="1:23" x14ac:dyDescent="0.25">
      <c r="A553" s="228" t="s">
        <v>1883</v>
      </c>
      <c r="B553" s="37" t="s">
        <v>124</v>
      </c>
      <c r="C553" s="8" t="s">
        <v>99</v>
      </c>
      <c r="D553" s="37" t="s">
        <v>919</v>
      </c>
      <c r="E553" s="8" t="s">
        <v>2229</v>
      </c>
      <c r="F553" s="8" t="s">
        <v>2232</v>
      </c>
      <c r="G553" s="38">
        <v>45</v>
      </c>
      <c r="H553" s="38">
        <v>30</v>
      </c>
      <c r="I553" s="38">
        <v>16</v>
      </c>
      <c r="J553" s="37" t="s">
        <v>2902</v>
      </c>
      <c r="K553" s="52">
        <v>12</v>
      </c>
      <c r="L553" s="38">
        <v>21</v>
      </c>
      <c r="M553" s="38">
        <v>7</v>
      </c>
      <c r="N553" s="37" t="s">
        <v>2903</v>
      </c>
      <c r="O553" s="27">
        <v>2</v>
      </c>
      <c r="P553" s="26" t="s">
        <v>194</v>
      </c>
      <c r="Q553" s="27" t="s">
        <v>2891</v>
      </c>
      <c r="R553" s="28" t="s">
        <v>2622</v>
      </c>
      <c r="S553" s="28"/>
      <c r="T553" s="28" t="s">
        <v>2233</v>
      </c>
      <c r="U553" s="45">
        <f t="shared" si="23"/>
        <v>6.56</v>
      </c>
    </row>
    <row r="554" spans="1:23" x14ac:dyDescent="0.25">
      <c r="A554" s="228" t="s">
        <v>1884</v>
      </c>
      <c r="B554" s="37" t="s">
        <v>124</v>
      </c>
      <c r="C554" s="8" t="s">
        <v>99</v>
      </c>
      <c r="D554" s="37" t="s">
        <v>920</v>
      </c>
      <c r="E554" s="8" t="s">
        <v>2234</v>
      </c>
      <c r="F554" s="8" t="s">
        <v>2235</v>
      </c>
      <c r="G554" s="38">
        <v>45</v>
      </c>
      <c r="H554" s="38">
        <v>53</v>
      </c>
      <c r="I554" s="38">
        <v>13</v>
      </c>
      <c r="J554" s="37" t="s">
        <v>2902</v>
      </c>
      <c r="K554" s="52">
        <v>11</v>
      </c>
      <c r="L554" s="38">
        <v>31</v>
      </c>
      <c r="M554" s="38">
        <v>0</v>
      </c>
      <c r="N554" s="37" t="s">
        <v>2903</v>
      </c>
      <c r="O554" s="27">
        <v>1000</v>
      </c>
      <c r="P554" s="26" t="s">
        <v>191</v>
      </c>
      <c r="Q554" s="27" t="s">
        <v>2892</v>
      </c>
      <c r="R554" s="28" t="s">
        <v>485</v>
      </c>
      <c r="S554" s="28"/>
      <c r="T554" s="28" t="s">
        <v>2236</v>
      </c>
      <c r="U554" s="45">
        <f t="shared" si="23"/>
        <v>3280</v>
      </c>
    </row>
    <row r="555" spans="1:23" x14ac:dyDescent="0.25">
      <c r="A555" s="228" t="s">
        <v>1885</v>
      </c>
      <c r="B555" s="5" t="s">
        <v>128</v>
      </c>
      <c r="C555" s="4" t="s">
        <v>99</v>
      </c>
      <c r="D555" s="5" t="s">
        <v>920</v>
      </c>
      <c r="E555" s="4" t="s">
        <v>2265</v>
      </c>
      <c r="F555" s="4" t="s">
        <v>2266</v>
      </c>
      <c r="G555" s="32">
        <v>45</v>
      </c>
      <c r="H555" s="32">
        <v>45</v>
      </c>
      <c r="I555" s="32">
        <v>21</v>
      </c>
      <c r="J555" s="5" t="s">
        <v>2902</v>
      </c>
      <c r="K555" s="51">
        <v>11</v>
      </c>
      <c r="L555" s="32">
        <v>41</v>
      </c>
      <c r="M555" s="32">
        <v>39</v>
      </c>
      <c r="N555" s="5" t="s">
        <v>2903</v>
      </c>
      <c r="O555" s="33">
        <v>100</v>
      </c>
      <c r="P555" s="26" t="s">
        <v>330</v>
      </c>
      <c r="Q555" s="27" t="s">
        <v>2267</v>
      </c>
      <c r="R555" s="28"/>
      <c r="S555" s="28"/>
      <c r="T555" s="28" t="s">
        <v>2268</v>
      </c>
      <c r="U555" s="45">
        <f t="shared" si="23"/>
        <v>328</v>
      </c>
    </row>
    <row r="556" spans="1:23" x14ac:dyDescent="0.25">
      <c r="A556" s="228" t="s">
        <v>1886</v>
      </c>
      <c r="B556" s="37" t="s">
        <v>128</v>
      </c>
      <c r="C556" s="8" t="s">
        <v>99</v>
      </c>
      <c r="D556" s="37" t="s">
        <v>920</v>
      </c>
      <c r="E556" s="8" t="s">
        <v>62</v>
      </c>
      <c r="F556" s="8" t="s">
        <v>62</v>
      </c>
      <c r="G556" s="38">
        <v>45</v>
      </c>
      <c r="H556" s="38">
        <v>44</v>
      </c>
      <c r="I556" s="38">
        <v>57</v>
      </c>
      <c r="J556" s="37" t="s">
        <v>2902</v>
      </c>
      <c r="K556" s="52">
        <v>11</v>
      </c>
      <c r="L556" s="38">
        <v>48</v>
      </c>
      <c r="M556" s="38">
        <v>43</v>
      </c>
      <c r="N556" s="37" t="s">
        <v>2903</v>
      </c>
      <c r="O556" s="27"/>
      <c r="P556" s="26" t="s">
        <v>214</v>
      </c>
      <c r="Q556" s="27" t="s">
        <v>226</v>
      </c>
      <c r="R556" s="28"/>
      <c r="S556" s="28"/>
      <c r="T556" s="28" t="s">
        <v>2270</v>
      </c>
      <c r="U556" s="45" t="str">
        <f t="shared" si="23"/>
        <v/>
      </c>
    </row>
    <row r="557" spans="1:23" x14ac:dyDescent="0.25">
      <c r="A557" s="228" t="s">
        <v>1887</v>
      </c>
      <c r="B557" s="37" t="s">
        <v>70</v>
      </c>
      <c r="C557" s="8" t="s">
        <v>99</v>
      </c>
      <c r="D557" s="37" t="s">
        <v>920</v>
      </c>
      <c r="E557" s="8" t="s">
        <v>2303</v>
      </c>
      <c r="F557" s="8" t="s">
        <v>2304</v>
      </c>
      <c r="G557" s="38">
        <v>45</v>
      </c>
      <c r="H557" s="38">
        <v>37</v>
      </c>
      <c r="I557" s="38">
        <v>25</v>
      </c>
      <c r="J557" s="37" t="s">
        <v>2902</v>
      </c>
      <c r="K557" s="52">
        <v>11</v>
      </c>
      <c r="L557" s="38">
        <v>36</v>
      </c>
      <c r="M557" s="38">
        <v>35</v>
      </c>
      <c r="N557" s="37" t="s">
        <v>2903</v>
      </c>
      <c r="O557" s="27">
        <v>50</v>
      </c>
      <c r="P557" s="26" t="s">
        <v>232</v>
      </c>
      <c r="Q557" s="27" t="s">
        <v>1980</v>
      </c>
      <c r="R557" s="28"/>
      <c r="S557" s="28"/>
      <c r="T557" s="28" t="s">
        <v>2305</v>
      </c>
      <c r="U557" s="45">
        <f t="shared" si="23"/>
        <v>164</v>
      </c>
    </row>
    <row r="558" spans="1:23" s="247" customFormat="1" x14ac:dyDescent="0.25">
      <c r="A558" s="228" t="s">
        <v>1888</v>
      </c>
      <c r="B558" s="37" t="s">
        <v>70</v>
      </c>
      <c r="C558" s="8" t="s">
        <v>99</v>
      </c>
      <c r="D558" s="37" t="s">
        <v>920</v>
      </c>
      <c r="E558" s="8" t="s">
        <v>2306</v>
      </c>
      <c r="F558" s="8" t="s">
        <v>2306</v>
      </c>
      <c r="G558" s="38">
        <v>45</v>
      </c>
      <c r="H558" s="38">
        <v>28</v>
      </c>
      <c r="I558" s="38">
        <v>20</v>
      </c>
      <c r="J558" s="37" t="s">
        <v>2902</v>
      </c>
      <c r="K558" s="52">
        <v>11</v>
      </c>
      <c r="L558" s="38">
        <v>41</v>
      </c>
      <c r="M558" s="38">
        <v>0</v>
      </c>
      <c r="N558" s="37" t="s">
        <v>2903</v>
      </c>
      <c r="O558" s="27"/>
      <c r="P558" s="26" t="s">
        <v>206</v>
      </c>
      <c r="Q558" s="27" t="s">
        <v>2307</v>
      </c>
      <c r="R558" s="28"/>
      <c r="S558" s="28"/>
      <c r="T558" s="28" t="s">
        <v>2308</v>
      </c>
      <c r="U558" s="45" t="str">
        <f t="shared" si="23"/>
        <v/>
      </c>
      <c r="V558" s="8"/>
      <c r="W558" s="8"/>
    </row>
    <row r="559" spans="1:23" x14ac:dyDescent="0.25">
      <c r="A559" s="228" t="s">
        <v>1889</v>
      </c>
      <c r="B559" s="37" t="s">
        <v>70</v>
      </c>
      <c r="C559" s="8" t="s">
        <v>99</v>
      </c>
      <c r="D559" s="37" t="s">
        <v>920</v>
      </c>
      <c r="E559" s="41" t="s">
        <v>63</v>
      </c>
      <c r="F559" s="41" t="s">
        <v>64</v>
      </c>
      <c r="G559" s="42">
        <v>45</v>
      </c>
      <c r="H559" s="42">
        <v>28</v>
      </c>
      <c r="I559" s="42">
        <v>58</v>
      </c>
      <c r="J559" s="37" t="s">
        <v>2902</v>
      </c>
      <c r="K559" s="56">
        <v>11</v>
      </c>
      <c r="L559" s="42">
        <v>23</v>
      </c>
      <c r="M559" s="42">
        <v>41</v>
      </c>
      <c r="N559" s="37" t="s">
        <v>2903</v>
      </c>
      <c r="O559" s="40">
        <v>40</v>
      </c>
      <c r="P559" s="26" t="s">
        <v>2614</v>
      </c>
      <c r="Q559" s="27" t="s">
        <v>256</v>
      </c>
      <c r="R559" s="28"/>
      <c r="S559" s="28"/>
      <c r="U559" s="45">
        <f t="shared" si="23"/>
        <v>131.19999999999999</v>
      </c>
    </row>
    <row r="560" spans="1:23" x14ac:dyDescent="0.25">
      <c r="A560" s="228" t="s">
        <v>1890</v>
      </c>
      <c r="B560" s="37" t="s">
        <v>128</v>
      </c>
      <c r="C560" s="8" t="s">
        <v>99</v>
      </c>
      <c r="D560" s="37" t="s">
        <v>920</v>
      </c>
      <c r="E560" s="8" t="s">
        <v>2271</v>
      </c>
      <c r="F560" s="8" t="s">
        <v>2272</v>
      </c>
      <c r="G560" s="38">
        <v>45</v>
      </c>
      <c r="H560" s="38">
        <v>26</v>
      </c>
      <c r="I560" s="38">
        <v>40</v>
      </c>
      <c r="J560" s="37" t="s">
        <v>2902</v>
      </c>
      <c r="K560" s="52">
        <v>11</v>
      </c>
      <c r="L560" s="38">
        <v>39</v>
      </c>
      <c r="M560" s="38">
        <v>3</v>
      </c>
      <c r="N560" s="37" t="s">
        <v>2903</v>
      </c>
      <c r="O560" s="27">
        <v>20</v>
      </c>
      <c r="P560" s="26" t="s">
        <v>267</v>
      </c>
      <c r="Q560" s="27" t="s">
        <v>357</v>
      </c>
      <c r="R560" s="28" t="s">
        <v>171</v>
      </c>
      <c r="S560" s="28"/>
      <c r="T560" s="28" t="s">
        <v>2273</v>
      </c>
      <c r="U560" s="45">
        <f t="shared" si="23"/>
        <v>65.599999999999994</v>
      </c>
    </row>
    <row r="561" spans="1:21" x14ac:dyDescent="0.25">
      <c r="A561" s="228" t="s">
        <v>1891</v>
      </c>
      <c r="B561" s="37" t="s">
        <v>124</v>
      </c>
      <c r="C561" s="8" t="s">
        <v>99</v>
      </c>
      <c r="D561" s="37" t="s">
        <v>920</v>
      </c>
      <c r="E561" s="4" t="s">
        <v>65</v>
      </c>
      <c r="F561" s="4" t="s">
        <v>2612</v>
      </c>
      <c r="G561" s="32">
        <v>45</v>
      </c>
      <c r="H561" s="32">
        <v>40</v>
      </c>
      <c r="I561" s="32">
        <v>30</v>
      </c>
      <c r="J561" s="37" t="s">
        <v>2902</v>
      </c>
      <c r="K561" s="51">
        <v>11</v>
      </c>
      <c r="L561" s="32">
        <v>29</v>
      </c>
      <c r="M561" s="32">
        <v>48</v>
      </c>
      <c r="N561" s="37" t="s">
        <v>2903</v>
      </c>
      <c r="O561" s="33" t="s">
        <v>250</v>
      </c>
      <c r="P561" s="26" t="s">
        <v>206</v>
      </c>
      <c r="Q561" s="27" t="s">
        <v>200</v>
      </c>
      <c r="R561" s="28" t="s">
        <v>2613</v>
      </c>
      <c r="S561" s="28"/>
      <c r="T561" s="28" t="s">
        <v>427</v>
      </c>
      <c r="U561" s="45">
        <f t="shared" si="23"/>
        <v>328</v>
      </c>
    </row>
    <row r="562" spans="1:21" x14ac:dyDescent="0.25">
      <c r="A562" s="228" t="s">
        <v>1892</v>
      </c>
      <c r="B562" s="37" t="s">
        <v>124</v>
      </c>
      <c r="C562" s="4" t="s">
        <v>99</v>
      </c>
      <c r="D562" s="37" t="s">
        <v>920</v>
      </c>
      <c r="E562" s="4" t="s">
        <v>2237</v>
      </c>
      <c r="F562" s="4" t="s">
        <v>2238</v>
      </c>
      <c r="G562" s="32">
        <v>45</v>
      </c>
      <c r="H562" s="32">
        <v>34</v>
      </c>
      <c r="I562" s="32">
        <v>23</v>
      </c>
      <c r="J562" s="5" t="s">
        <v>2902</v>
      </c>
      <c r="K562" s="51">
        <v>11</v>
      </c>
      <c r="L562" s="32">
        <v>31</v>
      </c>
      <c r="M562" s="32">
        <v>43</v>
      </c>
      <c r="N562" s="5" t="s">
        <v>2903</v>
      </c>
      <c r="O562" s="33">
        <v>19</v>
      </c>
      <c r="P562" s="26" t="s">
        <v>238</v>
      </c>
      <c r="Q562" s="27" t="s">
        <v>2877</v>
      </c>
      <c r="R562" s="28" t="s">
        <v>2623</v>
      </c>
      <c r="S562" s="28"/>
      <c r="T562" s="28" t="s">
        <v>2240</v>
      </c>
      <c r="U562" s="45">
        <f t="shared" si="23"/>
        <v>62.319999999999993</v>
      </c>
    </row>
    <row r="563" spans="1:21" x14ac:dyDescent="0.25">
      <c r="A563" s="228" t="s">
        <v>1893</v>
      </c>
      <c r="B563" s="5" t="s">
        <v>70</v>
      </c>
      <c r="C563" s="4" t="s">
        <v>99</v>
      </c>
      <c r="D563" s="5" t="s">
        <v>921</v>
      </c>
      <c r="E563" s="4" t="s">
        <v>307</v>
      </c>
      <c r="F563" s="4" t="s">
        <v>308</v>
      </c>
      <c r="G563" s="32">
        <v>45</v>
      </c>
      <c r="H563" s="32">
        <v>21</v>
      </c>
      <c r="I563" s="32">
        <v>36</v>
      </c>
      <c r="J563" s="5" t="s">
        <v>2902</v>
      </c>
      <c r="K563" s="51">
        <v>11</v>
      </c>
      <c r="L563" s="32">
        <v>17</v>
      </c>
      <c r="M563" s="32">
        <v>40</v>
      </c>
      <c r="N563" s="5" t="s">
        <v>2903</v>
      </c>
      <c r="O563" s="33" t="s">
        <v>292</v>
      </c>
      <c r="P563" s="26" t="s">
        <v>206</v>
      </c>
      <c r="Q563" s="27" t="s">
        <v>207</v>
      </c>
      <c r="R563" s="28" t="s">
        <v>2617</v>
      </c>
      <c r="S563" s="28"/>
      <c r="T563" s="28" t="s">
        <v>2218</v>
      </c>
      <c r="U563" s="45">
        <f t="shared" si="23"/>
        <v>55.76</v>
      </c>
    </row>
    <row r="564" spans="1:21" x14ac:dyDescent="0.25">
      <c r="A564" s="228" t="s">
        <v>1894</v>
      </c>
      <c r="B564" s="5" t="s">
        <v>70</v>
      </c>
      <c r="C564" s="4" t="s">
        <v>99</v>
      </c>
      <c r="D564" s="5" t="s">
        <v>921</v>
      </c>
      <c r="E564" s="4" t="s">
        <v>2309</v>
      </c>
      <c r="F564" s="4" t="s">
        <v>2310</v>
      </c>
      <c r="G564" s="32">
        <v>45</v>
      </c>
      <c r="H564" s="32">
        <v>34</v>
      </c>
      <c r="I564" s="32">
        <v>53</v>
      </c>
      <c r="J564" s="5" t="s">
        <v>2902</v>
      </c>
      <c r="K564" s="51">
        <v>10</v>
      </c>
      <c r="L564" s="32">
        <v>46</v>
      </c>
      <c r="M564" s="32">
        <v>1</v>
      </c>
      <c r="N564" s="5" t="s">
        <v>2903</v>
      </c>
      <c r="O564" s="33"/>
      <c r="P564" s="26"/>
      <c r="Q564" s="27" t="s">
        <v>2311</v>
      </c>
      <c r="R564" s="28"/>
      <c r="S564" s="28"/>
      <c r="T564" s="28" t="s">
        <v>2312</v>
      </c>
      <c r="U564" s="45" t="str">
        <f t="shared" si="23"/>
        <v/>
      </c>
    </row>
    <row r="565" spans="1:21" x14ac:dyDescent="0.25">
      <c r="A565" s="228" t="s">
        <v>1895</v>
      </c>
      <c r="B565" s="37" t="s">
        <v>70</v>
      </c>
      <c r="C565" s="4" t="s">
        <v>99</v>
      </c>
      <c r="D565" s="37" t="s">
        <v>921</v>
      </c>
      <c r="E565" s="8" t="s">
        <v>2317</v>
      </c>
      <c r="F565" s="8" t="s">
        <v>2318</v>
      </c>
      <c r="G565" s="38">
        <v>45</v>
      </c>
      <c r="H565" s="38">
        <v>15</v>
      </c>
      <c r="I565" s="38">
        <v>20</v>
      </c>
      <c r="J565" s="5" t="s">
        <v>2902</v>
      </c>
      <c r="K565" s="52">
        <v>11</v>
      </c>
      <c r="L565" s="38">
        <v>11</v>
      </c>
      <c r="M565" s="38">
        <v>28</v>
      </c>
      <c r="N565" s="5" t="s">
        <v>2903</v>
      </c>
      <c r="O565" s="27"/>
      <c r="P565" s="26" t="s">
        <v>204</v>
      </c>
      <c r="Q565" s="27" t="s">
        <v>218</v>
      </c>
      <c r="R565" s="28"/>
      <c r="S565" s="28"/>
      <c r="T565" s="28" t="s">
        <v>2319</v>
      </c>
      <c r="U565" s="45" t="str">
        <f t="shared" si="23"/>
        <v/>
      </c>
    </row>
    <row r="566" spans="1:21" x14ac:dyDescent="0.25">
      <c r="A566" s="228" t="s">
        <v>1896</v>
      </c>
      <c r="B566" s="5" t="s">
        <v>70</v>
      </c>
      <c r="C566" s="4" t="s">
        <v>99</v>
      </c>
      <c r="D566" s="5" t="s">
        <v>921</v>
      </c>
      <c r="E566" s="4" t="s">
        <v>633</v>
      </c>
      <c r="F566" s="4" t="s">
        <v>2313</v>
      </c>
      <c r="G566" s="32">
        <v>45</v>
      </c>
      <c r="H566" s="32">
        <v>17</v>
      </c>
      <c r="I566" s="32">
        <v>32</v>
      </c>
      <c r="J566" s="5" t="s">
        <v>2902</v>
      </c>
      <c r="K566" s="51">
        <v>11</v>
      </c>
      <c r="L566" s="32">
        <v>1</v>
      </c>
      <c r="M566" s="32">
        <v>34</v>
      </c>
      <c r="N566" s="5" t="s">
        <v>2903</v>
      </c>
      <c r="O566" s="33">
        <v>30</v>
      </c>
      <c r="P566" s="26" t="s">
        <v>232</v>
      </c>
      <c r="Q566" s="27" t="s">
        <v>2159</v>
      </c>
      <c r="R566" s="28"/>
      <c r="S566" s="28"/>
      <c r="T566" s="28" t="s">
        <v>2314</v>
      </c>
      <c r="U566" s="45">
        <f t="shared" si="23"/>
        <v>98.399999999999991</v>
      </c>
    </row>
    <row r="567" spans="1:21" x14ac:dyDescent="0.25">
      <c r="A567" s="228" t="s">
        <v>1897</v>
      </c>
      <c r="B567" s="37" t="s">
        <v>70</v>
      </c>
      <c r="C567" s="8" t="s">
        <v>99</v>
      </c>
      <c r="D567" s="37" t="s">
        <v>921</v>
      </c>
      <c r="E567" s="8" t="s">
        <v>633</v>
      </c>
      <c r="F567" s="8" t="s">
        <v>2054</v>
      </c>
      <c r="G567" s="38">
        <v>45</v>
      </c>
      <c r="H567" s="38">
        <v>14</v>
      </c>
      <c r="I567" s="38">
        <v>42</v>
      </c>
      <c r="J567" s="37" t="s">
        <v>2902</v>
      </c>
      <c r="K567" s="52">
        <v>11</v>
      </c>
      <c r="L567" s="38">
        <v>0</v>
      </c>
      <c r="M567" s="38">
        <v>36</v>
      </c>
      <c r="N567" s="37" t="s">
        <v>2903</v>
      </c>
      <c r="O567" s="27" t="s">
        <v>228</v>
      </c>
      <c r="P567" s="26" t="s">
        <v>456</v>
      </c>
      <c r="Q567" s="27" t="s">
        <v>634</v>
      </c>
      <c r="R567" s="28" t="s">
        <v>171</v>
      </c>
      <c r="S567" s="28"/>
      <c r="T567" s="28" t="s">
        <v>1985</v>
      </c>
      <c r="U567" s="45">
        <f t="shared" si="23"/>
        <v>65.599999999999994</v>
      </c>
    </row>
    <row r="568" spans="1:21" x14ac:dyDescent="0.25">
      <c r="A568" s="228" t="s">
        <v>1898</v>
      </c>
      <c r="B568" s="37" t="s">
        <v>70</v>
      </c>
      <c r="C568" s="8" t="s">
        <v>99</v>
      </c>
      <c r="D568" s="37" t="s">
        <v>921</v>
      </c>
      <c r="E568" s="8" t="s">
        <v>633</v>
      </c>
      <c r="F568" s="8" t="s">
        <v>2315</v>
      </c>
      <c r="G568" s="38">
        <v>45</v>
      </c>
      <c r="H568" s="38">
        <v>15</v>
      </c>
      <c r="I568" s="38">
        <v>0</v>
      </c>
      <c r="J568" s="37" t="s">
        <v>2902</v>
      </c>
      <c r="K568" s="52">
        <v>11</v>
      </c>
      <c r="L568" s="38">
        <v>2</v>
      </c>
      <c r="M568" s="38">
        <v>10</v>
      </c>
      <c r="N568" s="37" t="s">
        <v>2903</v>
      </c>
      <c r="O568" s="27"/>
      <c r="P568" s="26"/>
      <c r="Q568" s="27" t="s">
        <v>248</v>
      </c>
      <c r="R568" s="28"/>
      <c r="S568" s="28"/>
      <c r="T568" s="28" t="s">
        <v>2316</v>
      </c>
      <c r="U568" s="45" t="str">
        <f t="shared" si="23"/>
        <v/>
      </c>
    </row>
    <row r="569" spans="1:21" x14ac:dyDescent="0.25">
      <c r="A569" s="228" t="s">
        <v>1899</v>
      </c>
      <c r="B569" s="5" t="s">
        <v>124</v>
      </c>
      <c r="C569" s="4" t="s">
        <v>99</v>
      </c>
      <c r="D569" s="5" t="s">
        <v>921</v>
      </c>
      <c r="E569" s="4" t="s">
        <v>60</v>
      </c>
      <c r="F569" s="4" t="s">
        <v>2055</v>
      </c>
      <c r="G569" s="32">
        <v>45</v>
      </c>
      <c r="H569" s="32">
        <v>7</v>
      </c>
      <c r="I569" s="32">
        <v>57</v>
      </c>
      <c r="J569" s="5" t="s">
        <v>2902</v>
      </c>
      <c r="K569" s="51">
        <v>11</v>
      </c>
      <c r="L569" s="32">
        <v>17</v>
      </c>
      <c r="M569" s="32">
        <v>33</v>
      </c>
      <c r="N569" s="5" t="s">
        <v>2903</v>
      </c>
      <c r="O569" s="33" t="s">
        <v>355</v>
      </c>
      <c r="P569" s="26" t="s">
        <v>275</v>
      </c>
      <c r="Q569" s="27" t="s">
        <v>226</v>
      </c>
      <c r="R569" s="28" t="s">
        <v>597</v>
      </c>
      <c r="S569" s="28"/>
      <c r="T569" s="28" t="s">
        <v>598</v>
      </c>
      <c r="U569" s="45">
        <f t="shared" si="23"/>
        <v>32.799999999999997</v>
      </c>
    </row>
    <row r="570" spans="1:21" x14ac:dyDescent="0.25">
      <c r="A570" s="228" t="s">
        <v>1900</v>
      </c>
      <c r="B570" s="5" t="s">
        <v>128</v>
      </c>
      <c r="C570" s="4" t="s">
        <v>99</v>
      </c>
      <c r="D570" s="5" t="s">
        <v>921</v>
      </c>
      <c r="E570" s="4" t="s">
        <v>680</v>
      </c>
      <c r="F570" s="4" t="s">
        <v>681</v>
      </c>
      <c r="G570" s="32">
        <v>45</v>
      </c>
      <c r="H570" s="32">
        <v>10</v>
      </c>
      <c r="I570" s="32">
        <v>0</v>
      </c>
      <c r="J570" s="5" t="s">
        <v>2902</v>
      </c>
      <c r="K570" s="51">
        <v>11</v>
      </c>
      <c r="L570" s="32">
        <v>2</v>
      </c>
      <c r="M570" s="32">
        <v>10</v>
      </c>
      <c r="N570" s="5" t="s">
        <v>2903</v>
      </c>
      <c r="O570" s="33" t="s">
        <v>228</v>
      </c>
      <c r="P570" s="26" t="s">
        <v>238</v>
      </c>
      <c r="Q570" s="27" t="s">
        <v>137</v>
      </c>
      <c r="R570" s="28" t="s">
        <v>2599</v>
      </c>
      <c r="S570" s="28"/>
      <c r="T570" s="28" t="s">
        <v>1986</v>
      </c>
      <c r="U570" s="45">
        <f t="shared" si="23"/>
        <v>65.599999999999994</v>
      </c>
    </row>
    <row r="571" spans="1:21" x14ac:dyDescent="0.25">
      <c r="A571" s="228" t="s">
        <v>1901</v>
      </c>
      <c r="B571" s="37" t="s">
        <v>128</v>
      </c>
      <c r="C571" s="49" t="s">
        <v>99</v>
      </c>
      <c r="D571" s="144" t="s">
        <v>921</v>
      </c>
      <c r="E571" s="49" t="s">
        <v>2619</v>
      </c>
      <c r="F571" s="49" t="s">
        <v>2619</v>
      </c>
      <c r="G571" s="145">
        <v>45</v>
      </c>
      <c r="H571" s="145">
        <v>17</v>
      </c>
      <c r="I571" s="145">
        <v>40</v>
      </c>
      <c r="J571" s="37" t="s">
        <v>2902</v>
      </c>
      <c r="K571" s="146">
        <v>10</v>
      </c>
      <c r="L571" s="145">
        <v>54</v>
      </c>
      <c r="M571" s="145">
        <v>30</v>
      </c>
      <c r="N571" s="37" t="s">
        <v>2903</v>
      </c>
      <c r="O571" s="147">
        <v>40</v>
      </c>
      <c r="P571" s="26" t="s">
        <v>206</v>
      </c>
      <c r="Q571" s="28" t="s">
        <v>245</v>
      </c>
      <c r="S571" s="27"/>
      <c r="T571" s="28" t="s">
        <v>2620</v>
      </c>
      <c r="U571" s="45">
        <f t="shared" si="23"/>
        <v>131.19999999999999</v>
      </c>
    </row>
    <row r="572" spans="1:21" x14ac:dyDescent="0.25">
      <c r="A572" s="228" t="s">
        <v>1902</v>
      </c>
      <c r="B572" s="5" t="s">
        <v>128</v>
      </c>
      <c r="C572" s="224" t="s">
        <v>99</v>
      </c>
      <c r="D572" s="240" t="s">
        <v>921</v>
      </c>
      <c r="E572" s="224" t="s">
        <v>2625</v>
      </c>
      <c r="F572" s="224" t="s">
        <v>2624</v>
      </c>
      <c r="G572" s="241">
        <v>45</v>
      </c>
      <c r="H572" s="241">
        <v>20</v>
      </c>
      <c r="I572" s="241">
        <v>0</v>
      </c>
      <c r="J572" s="5" t="s">
        <v>2902</v>
      </c>
      <c r="K572" s="242">
        <v>11</v>
      </c>
      <c r="L572" s="241">
        <v>13</v>
      </c>
      <c r="M572" s="241">
        <v>10</v>
      </c>
      <c r="N572" s="5" t="s">
        <v>2903</v>
      </c>
      <c r="O572" s="243">
        <v>20</v>
      </c>
      <c r="P572" s="26" t="s">
        <v>204</v>
      </c>
      <c r="Q572" s="28" t="s">
        <v>207</v>
      </c>
      <c r="S572" s="27"/>
      <c r="T572" s="28" t="s">
        <v>2620</v>
      </c>
      <c r="U572" s="45">
        <f t="shared" si="23"/>
        <v>65.599999999999994</v>
      </c>
    </row>
    <row r="573" spans="1:21" x14ac:dyDescent="0.25">
      <c r="A573" s="228" t="s">
        <v>1903</v>
      </c>
      <c r="B573" s="37" t="s">
        <v>70</v>
      </c>
      <c r="C573" s="8" t="s">
        <v>99</v>
      </c>
      <c r="D573" s="37" t="s">
        <v>921</v>
      </c>
      <c r="E573" s="4" t="s">
        <v>508</v>
      </c>
      <c r="F573" s="8" t="s">
        <v>509</v>
      </c>
      <c r="G573" s="38">
        <v>45</v>
      </c>
      <c r="H573" s="38">
        <v>19</v>
      </c>
      <c r="I573" s="38">
        <v>11</v>
      </c>
      <c r="J573" s="37" t="s">
        <v>2902</v>
      </c>
      <c r="K573" s="52">
        <v>10</v>
      </c>
      <c r="L573" s="38">
        <v>42</v>
      </c>
      <c r="M573" s="38">
        <v>36</v>
      </c>
      <c r="N573" s="37" t="s">
        <v>2903</v>
      </c>
      <c r="O573" s="27" t="s">
        <v>510</v>
      </c>
      <c r="P573" s="26" t="s">
        <v>194</v>
      </c>
      <c r="Q573" s="27" t="s">
        <v>471</v>
      </c>
      <c r="R573" s="28" t="s">
        <v>171</v>
      </c>
      <c r="S573" s="28"/>
      <c r="T573" s="28" t="s">
        <v>2221</v>
      </c>
      <c r="U573" s="45">
        <f t="shared" si="23"/>
        <v>223.04</v>
      </c>
    </row>
    <row r="574" spans="1:21" x14ac:dyDescent="0.25">
      <c r="A574" s="228" t="s">
        <v>1904</v>
      </c>
      <c r="B574" s="37" t="s">
        <v>124</v>
      </c>
      <c r="C574" s="8" t="s">
        <v>99</v>
      </c>
      <c r="D574" s="37" t="s">
        <v>921</v>
      </c>
      <c r="E574" s="8" t="s">
        <v>2241</v>
      </c>
      <c r="F574" s="8" t="s">
        <v>2242</v>
      </c>
      <c r="G574" s="38">
        <v>45</v>
      </c>
      <c r="H574" s="38">
        <v>28</v>
      </c>
      <c r="I574" s="38">
        <v>20</v>
      </c>
      <c r="J574" s="37" t="s">
        <v>2902</v>
      </c>
      <c r="K574" s="52">
        <v>10</v>
      </c>
      <c r="L574" s="38">
        <v>55</v>
      </c>
      <c r="M574" s="38">
        <v>38</v>
      </c>
      <c r="N574" s="37" t="s">
        <v>2903</v>
      </c>
      <c r="O574" s="27">
        <v>90</v>
      </c>
      <c r="P574" s="26" t="s">
        <v>191</v>
      </c>
      <c r="Q574" s="27" t="s">
        <v>2893</v>
      </c>
      <c r="R574" s="28" t="s">
        <v>2618</v>
      </c>
      <c r="S574" s="28"/>
      <c r="T574" s="28" t="s">
        <v>2243</v>
      </c>
      <c r="U574" s="45">
        <f t="shared" si="23"/>
        <v>295.2</v>
      </c>
    </row>
    <row r="575" spans="1:21" x14ac:dyDescent="0.25">
      <c r="A575" s="228" t="s">
        <v>1905</v>
      </c>
      <c r="B575" s="37" t="s">
        <v>124</v>
      </c>
      <c r="C575" s="8" t="s">
        <v>99</v>
      </c>
      <c r="D575" s="37" t="s">
        <v>921</v>
      </c>
      <c r="E575" s="8" t="s">
        <v>2241</v>
      </c>
      <c r="F575" s="8" t="s">
        <v>2244</v>
      </c>
      <c r="G575" s="38">
        <v>45</v>
      </c>
      <c r="H575" s="38">
        <v>23</v>
      </c>
      <c r="I575" s="38">
        <v>43</v>
      </c>
      <c r="J575" s="37" t="s">
        <v>2902</v>
      </c>
      <c r="K575" s="52">
        <v>10</v>
      </c>
      <c r="L575" s="38">
        <v>53</v>
      </c>
      <c r="M575" s="38">
        <v>15</v>
      </c>
      <c r="N575" s="37" t="s">
        <v>2903</v>
      </c>
      <c r="O575" s="27">
        <v>70</v>
      </c>
      <c r="P575" s="26" t="s">
        <v>279</v>
      </c>
      <c r="Q575" s="27" t="s">
        <v>2894</v>
      </c>
      <c r="R575" s="28" t="s">
        <v>2626</v>
      </c>
      <c r="S575" s="28"/>
      <c r="T575" s="28" t="s">
        <v>2245</v>
      </c>
      <c r="U575" s="45">
        <f t="shared" si="23"/>
        <v>229.6</v>
      </c>
    </row>
    <row r="576" spans="1:21" x14ac:dyDescent="0.25">
      <c r="A576" s="228"/>
      <c r="B576" s="5"/>
      <c r="C576" s="4"/>
      <c r="D576" s="5"/>
      <c r="E576" s="4"/>
      <c r="F576" s="4"/>
      <c r="G576" s="32"/>
      <c r="H576" s="32"/>
      <c r="I576" s="32"/>
      <c r="J576" s="5"/>
      <c r="K576" s="51"/>
      <c r="L576" s="32"/>
      <c r="M576" s="32"/>
      <c r="N576" s="5"/>
      <c r="O576" s="33"/>
      <c r="P576" s="26"/>
      <c r="Q576" s="27"/>
      <c r="R576" s="28"/>
      <c r="S576" s="28"/>
      <c r="U576" s="45"/>
    </row>
    <row r="577" spans="1:23" x14ac:dyDescent="0.25">
      <c r="A577" s="228"/>
      <c r="G577" s="38"/>
      <c r="H577" s="38"/>
      <c r="I577" s="38"/>
      <c r="K577" s="52"/>
      <c r="L577" s="38"/>
      <c r="M577" s="38"/>
      <c r="O577" s="27"/>
      <c r="P577" s="26"/>
      <c r="Q577" s="27"/>
      <c r="R577" s="28"/>
      <c r="S577" s="28"/>
      <c r="U577" s="45"/>
    </row>
    <row r="578" spans="1:23" x14ac:dyDescent="0.25">
      <c r="A578" s="228"/>
      <c r="G578" s="38"/>
      <c r="H578" s="38"/>
      <c r="I578" s="38"/>
      <c r="K578" s="52"/>
      <c r="L578" s="38"/>
      <c r="M578" s="38"/>
      <c r="O578" s="27"/>
      <c r="P578" s="26"/>
      <c r="Q578" s="27"/>
      <c r="R578" s="28"/>
      <c r="S578" s="28"/>
      <c r="U578" s="45"/>
    </row>
    <row r="579" spans="1:23" x14ac:dyDescent="0.25">
      <c r="A579" s="228"/>
      <c r="B579" s="273"/>
      <c r="C579" s="259"/>
      <c r="D579" s="273"/>
      <c r="E579" s="259"/>
      <c r="F579" s="259"/>
      <c r="G579" s="274"/>
      <c r="H579" s="274"/>
      <c r="I579" s="274"/>
      <c r="J579" s="275"/>
      <c r="K579" s="274"/>
      <c r="L579" s="274"/>
      <c r="M579" s="274"/>
      <c r="N579" s="273"/>
      <c r="O579" s="277"/>
      <c r="P579" s="260"/>
      <c r="Q579" s="261"/>
      <c r="R579" s="262"/>
      <c r="S579" s="263"/>
      <c r="T579" s="263"/>
      <c r="U579" s="264"/>
      <c r="V579" s="259"/>
      <c r="W579" s="259"/>
    </row>
    <row r="580" spans="1:23" x14ac:dyDescent="0.25">
      <c r="A580" s="229"/>
      <c r="B580" s="273"/>
      <c r="C580" s="259"/>
      <c r="D580" s="273"/>
      <c r="E580" s="259"/>
      <c r="F580" s="259"/>
      <c r="G580" s="274"/>
      <c r="H580" s="274"/>
      <c r="I580" s="274"/>
      <c r="J580" s="275"/>
      <c r="K580" s="274"/>
      <c r="L580" s="274"/>
      <c r="M580" s="274"/>
      <c r="N580" s="273"/>
      <c r="O580" s="277"/>
      <c r="P580" s="260"/>
      <c r="Q580" s="261"/>
      <c r="R580" s="262"/>
      <c r="S580" s="263"/>
      <c r="T580" s="263"/>
      <c r="U580" s="264"/>
      <c r="V580" s="259"/>
      <c r="W580" s="259"/>
    </row>
    <row r="581" spans="1:23" x14ac:dyDescent="0.25">
      <c r="A581" s="228"/>
      <c r="B581" s="5"/>
      <c r="C581" s="4"/>
      <c r="G581" s="38"/>
      <c r="H581" s="38"/>
      <c r="I581" s="38"/>
      <c r="J581" s="5"/>
      <c r="K581" s="52"/>
      <c r="L581" s="38"/>
      <c r="M581" s="38"/>
      <c r="N581" s="5"/>
      <c r="O581" s="27"/>
      <c r="P581" s="26"/>
      <c r="Q581" s="27"/>
      <c r="R581" s="28"/>
      <c r="S581" s="28"/>
      <c r="U581" s="45"/>
    </row>
    <row r="582" spans="1:23" x14ac:dyDescent="0.25">
      <c r="A582" s="228"/>
      <c r="G582" s="38"/>
      <c r="H582" s="38"/>
      <c r="I582" s="38"/>
      <c r="K582" s="52"/>
      <c r="L582" s="38"/>
      <c r="M582" s="38"/>
      <c r="O582" s="27"/>
      <c r="P582" s="26"/>
      <c r="Q582" s="27"/>
      <c r="R582" s="28"/>
      <c r="S582" s="28"/>
      <c r="U582" s="45"/>
    </row>
    <row r="583" spans="1:23" x14ac:dyDescent="0.25">
      <c r="A583" s="228"/>
      <c r="C583" s="49"/>
      <c r="G583" s="38"/>
      <c r="H583" s="38"/>
      <c r="I583" s="38"/>
      <c r="K583" s="52"/>
      <c r="L583" s="38"/>
      <c r="M583" s="38"/>
      <c r="O583" s="27"/>
      <c r="P583" s="26"/>
      <c r="Q583" s="27"/>
      <c r="R583" s="28"/>
      <c r="S583" s="28"/>
      <c r="U583" s="45"/>
    </row>
    <row r="584" spans="1:23" x14ac:dyDescent="0.25">
      <c r="A584" s="228"/>
      <c r="B584" s="5"/>
      <c r="C584" s="4"/>
      <c r="D584" s="5"/>
      <c r="E584" s="4"/>
      <c r="F584" s="4"/>
      <c r="G584" s="32"/>
      <c r="H584" s="32"/>
      <c r="I584" s="32"/>
      <c r="J584" s="5"/>
      <c r="K584" s="51"/>
      <c r="L584" s="32"/>
      <c r="M584" s="32"/>
      <c r="N584" s="5"/>
      <c r="O584" s="33"/>
      <c r="P584" s="26"/>
      <c r="Q584" s="27"/>
      <c r="R584" s="28"/>
      <c r="S584" s="28"/>
      <c r="U584" s="45"/>
    </row>
    <row r="585" spans="1:23" s="247" customFormat="1" x14ac:dyDescent="0.25">
      <c r="A585" s="228"/>
      <c r="B585" s="273"/>
      <c r="C585" s="259"/>
      <c r="D585" s="273"/>
      <c r="E585" s="259"/>
      <c r="F585" s="259"/>
      <c r="G585" s="274"/>
      <c r="H585" s="274"/>
      <c r="I585" s="274"/>
      <c r="J585" s="275"/>
      <c r="K585" s="274"/>
      <c r="L585" s="274"/>
      <c r="M585" s="274"/>
      <c r="N585" s="273"/>
      <c r="O585" s="277"/>
      <c r="P585" s="260"/>
      <c r="Q585" s="261"/>
      <c r="R585" s="262"/>
      <c r="S585" s="263"/>
      <c r="T585" s="263"/>
      <c r="U585" s="264"/>
      <c r="V585" s="259"/>
      <c r="W585" s="259"/>
    </row>
    <row r="586" spans="1:23" x14ac:dyDescent="0.25">
      <c r="A586" s="228"/>
      <c r="B586" s="273"/>
      <c r="C586" s="259"/>
      <c r="D586" s="273"/>
      <c r="E586" s="259"/>
      <c r="F586" s="259"/>
      <c r="G586" s="274"/>
      <c r="H586" s="274"/>
      <c r="I586" s="274"/>
      <c r="J586" s="270"/>
      <c r="K586" s="274"/>
      <c r="L586" s="274"/>
      <c r="M586" s="274"/>
      <c r="N586" s="267"/>
      <c r="O586" s="277"/>
      <c r="P586" s="260"/>
      <c r="Q586" s="261"/>
      <c r="R586" s="262"/>
      <c r="S586" s="263"/>
      <c r="T586" s="263"/>
      <c r="U586" s="264"/>
      <c r="V586" s="259"/>
      <c r="W586" s="259"/>
    </row>
    <row r="587" spans="1:23" x14ac:dyDescent="0.25">
      <c r="A587" s="228"/>
      <c r="B587" s="267"/>
      <c r="C587" s="268"/>
      <c r="D587" s="267"/>
      <c r="E587" s="268"/>
      <c r="F587" s="268"/>
      <c r="G587" s="269"/>
      <c r="H587" s="269"/>
      <c r="I587" s="269"/>
      <c r="J587" s="270"/>
      <c r="K587" s="269"/>
      <c r="L587" s="269"/>
      <c r="M587" s="269"/>
      <c r="N587" s="267"/>
      <c r="O587" s="272"/>
      <c r="P587" s="260"/>
      <c r="Q587" s="261"/>
      <c r="R587" s="262"/>
      <c r="S587" s="263"/>
      <c r="T587" s="263"/>
      <c r="U587" s="264"/>
      <c r="V587" s="259"/>
      <c r="W587" s="259"/>
    </row>
    <row r="588" spans="1:23" x14ac:dyDescent="0.25">
      <c r="A588" s="228"/>
      <c r="B588" s="5"/>
      <c r="C588" s="4"/>
      <c r="D588" s="5"/>
      <c r="E588" s="4"/>
      <c r="F588" s="4"/>
      <c r="G588" s="32"/>
      <c r="H588" s="32"/>
      <c r="I588" s="32"/>
      <c r="J588" s="5"/>
      <c r="K588" s="51"/>
      <c r="L588" s="32"/>
      <c r="M588" s="32"/>
      <c r="N588" s="5"/>
      <c r="O588" s="33"/>
      <c r="P588" s="26"/>
      <c r="Q588" s="27"/>
      <c r="R588" s="28"/>
      <c r="S588" s="28"/>
      <c r="U588" s="45"/>
    </row>
    <row r="589" spans="1:23" x14ac:dyDescent="0.25">
      <c r="A589" s="228"/>
      <c r="B589" s="5"/>
      <c r="C589" s="4"/>
      <c r="D589" s="5"/>
      <c r="E589" s="4"/>
      <c r="F589" s="4"/>
      <c r="G589" s="32"/>
      <c r="H589" s="32"/>
      <c r="I589" s="32"/>
      <c r="J589" s="5"/>
      <c r="K589" s="51"/>
      <c r="L589" s="32"/>
      <c r="M589" s="32"/>
      <c r="N589" s="5"/>
      <c r="O589" s="33"/>
      <c r="P589" s="26"/>
      <c r="Q589" s="27"/>
      <c r="R589" s="28"/>
      <c r="S589" s="28"/>
      <c r="U589" s="45"/>
    </row>
    <row r="590" spans="1:23" x14ac:dyDescent="0.25">
      <c r="A590" s="228"/>
      <c r="B590" s="5"/>
      <c r="C590" s="4"/>
      <c r="D590" s="5"/>
      <c r="E590" s="4"/>
      <c r="F590" s="4"/>
      <c r="G590" s="32"/>
      <c r="H590" s="32"/>
      <c r="I590" s="32"/>
      <c r="J590" s="5"/>
      <c r="K590" s="51"/>
      <c r="L590" s="32"/>
      <c r="M590" s="32"/>
      <c r="N590" s="5"/>
      <c r="O590" s="33"/>
      <c r="P590" s="26"/>
      <c r="Q590" s="27"/>
      <c r="R590" s="28"/>
      <c r="S590" s="28"/>
      <c r="U590" s="45"/>
    </row>
    <row r="591" spans="1:23" x14ac:dyDescent="0.25">
      <c r="A591" s="228"/>
      <c r="B591" s="5"/>
      <c r="C591" s="4"/>
      <c r="D591" s="5"/>
      <c r="E591" s="4"/>
      <c r="F591" s="4"/>
      <c r="G591" s="32"/>
      <c r="H591" s="32"/>
      <c r="I591" s="32"/>
      <c r="J591" s="5"/>
      <c r="K591" s="51"/>
      <c r="L591" s="32"/>
      <c r="M591" s="32"/>
      <c r="N591" s="5"/>
      <c r="O591" s="33"/>
      <c r="P591" s="26"/>
      <c r="Q591" s="27"/>
      <c r="R591" s="28"/>
      <c r="S591" s="28"/>
      <c r="U591" s="45"/>
    </row>
    <row r="592" spans="1:23" x14ac:dyDescent="0.25">
      <c r="A592" s="228"/>
      <c r="B592" s="5"/>
      <c r="C592" s="4"/>
      <c r="D592" s="5"/>
      <c r="E592" s="4"/>
      <c r="F592" s="4"/>
      <c r="G592" s="32"/>
      <c r="H592" s="32"/>
      <c r="I592" s="32"/>
      <c r="J592" s="5"/>
      <c r="K592" s="51"/>
      <c r="L592" s="32"/>
      <c r="M592" s="32"/>
      <c r="N592" s="5"/>
      <c r="O592" s="33"/>
      <c r="P592" s="26"/>
      <c r="Q592" s="27"/>
      <c r="R592" s="28"/>
      <c r="S592" s="28"/>
      <c r="U592" s="45"/>
    </row>
    <row r="593" spans="1:21" x14ac:dyDescent="0.25">
      <c r="A593" s="228"/>
      <c r="G593" s="38"/>
      <c r="H593" s="38"/>
      <c r="I593" s="38"/>
      <c r="K593" s="52"/>
      <c r="L593" s="38"/>
      <c r="M593" s="38"/>
      <c r="O593" s="27"/>
      <c r="P593" s="26"/>
      <c r="Q593" s="27"/>
      <c r="R593" s="28"/>
      <c r="S593" s="28"/>
      <c r="U593" s="45"/>
    </row>
    <row r="594" spans="1:21" x14ac:dyDescent="0.25">
      <c r="A594" s="228"/>
      <c r="B594" s="5"/>
      <c r="C594" s="4"/>
      <c r="D594" s="5"/>
      <c r="E594" s="4"/>
      <c r="F594" s="4"/>
      <c r="G594" s="32"/>
      <c r="H594" s="32"/>
      <c r="I594" s="32"/>
      <c r="J594" s="5"/>
      <c r="K594" s="51"/>
      <c r="L594" s="32"/>
      <c r="M594" s="32"/>
      <c r="N594" s="5"/>
      <c r="O594" s="33"/>
      <c r="P594" s="26"/>
      <c r="Q594" s="27"/>
      <c r="R594" s="28"/>
      <c r="S594" s="28"/>
      <c r="U594" s="45"/>
    </row>
    <row r="595" spans="1:21" x14ac:dyDescent="0.25">
      <c r="A595" s="228"/>
      <c r="G595" s="38"/>
      <c r="H595" s="38"/>
      <c r="I595" s="38"/>
      <c r="K595" s="52"/>
      <c r="L595" s="38"/>
      <c r="M595" s="38"/>
      <c r="O595" s="27"/>
      <c r="P595" s="26"/>
      <c r="Q595" s="27"/>
      <c r="R595" s="28"/>
      <c r="S595" s="28"/>
      <c r="U595" s="45"/>
    </row>
    <row r="596" spans="1:21" x14ac:dyDescent="0.25">
      <c r="A596" s="228"/>
      <c r="B596" s="5"/>
      <c r="C596" s="4"/>
      <c r="D596" s="5"/>
      <c r="E596" s="4"/>
      <c r="F596" s="4"/>
      <c r="G596" s="32"/>
      <c r="H596" s="32"/>
      <c r="I596" s="32"/>
      <c r="J596" s="5"/>
      <c r="K596" s="51"/>
      <c r="L596" s="32"/>
      <c r="M596" s="32"/>
      <c r="N596" s="5"/>
      <c r="O596" s="33"/>
      <c r="P596" s="26"/>
      <c r="Q596" s="27"/>
      <c r="R596" s="28"/>
      <c r="S596" s="28"/>
      <c r="U596" s="45"/>
    </row>
    <row r="597" spans="1:21" x14ac:dyDescent="0.25">
      <c r="A597" s="228"/>
      <c r="B597" s="5"/>
      <c r="C597" s="29"/>
      <c r="D597" s="5"/>
      <c r="E597" s="4"/>
      <c r="F597" s="4"/>
      <c r="G597" s="32"/>
      <c r="H597" s="32"/>
      <c r="I597" s="32"/>
      <c r="J597" s="5"/>
      <c r="K597" s="51"/>
      <c r="L597" s="32"/>
      <c r="M597" s="32"/>
      <c r="N597" s="5"/>
      <c r="O597" s="33"/>
      <c r="P597" s="26"/>
      <c r="Q597" s="27"/>
      <c r="R597" s="28"/>
      <c r="S597" s="28"/>
      <c r="U597" s="45"/>
    </row>
    <row r="598" spans="1:21" x14ac:dyDescent="0.25">
      <c r="A598" s="228"/>
      <c r="C598" s="29"/>
      <c r="G598" s="38"/>
      <c r="H598" s="38"/>
      <c r="I598" s="38"/>
      <c r="K598" s="52"/>
      <c r="L598" s="38"/>
      <c r="M598" s="38"/>
      <c r="O598" s="27"/>
      <c r="P598" s="26"/>
      <c r="Q598" s="27"/>
      <c r="R598" s="28"/>
      <c r="S598" s="28"/>
      <c r="U598" s="45"/>
    </row>
    <row r="599" spans="1:21" x14ac:dyDescent="0.25">
      <c r="A599" s="228"/>
      <c r="C599" s="4"/>
      <c r="E599" s="4"/>
      <c r="G599" s="38"/>
      <c r="H599" s="38"/>
      <c r="I599" s="38"/>
      <c r="J599" s="5"/>
      <c r="K599" s="52"/>
      <c r="L599" s="38"/>
      <c r="M599" s="38"/>
      <c r="N599" s="5"/>
      <c r="O599" s="27"/>
      <c r="P599" s="26"/>
      <c r="Q599" s="27"/>
      <c r="R599" s="28"/>
      <c r="S599" s="28"/>
      <c r="U599" s="45"/>
    </row>
    <row r="600" spans="1:21" x14ac:dyDescent="0.25">
      <c r="A600" s="228"/>
      <c r="G600" s="38"/>
      <c r="H600" s="38"/>
      <c r="I600" s="38"/>
      <c r="K600" s="52"/>
      <c r="L600" s="38"/>
      <c r="M600" s="38"/>
      <c r="O600" s="27"/>
      <c r="P600" s="26"/>
      <c r="Q600" s="27"/>
      <c r="R600" s="28"/>
      <c r="S600" s="28"/>
      <c r="U600" s="45"/>
    </row>
    <row r="601" spans="1:21" x14ac:dyDescent="0.25">
      <c r="A601" s="228"/>
      <c r="G601" s="38"/>
      <c r="H601" s="38"/>
      <c r="I601" s="38"/>
      <c r="K601" s="52"/>
      <c r="L601" s="38"/>
      <c r="M601" s="38"/>
      <c r="O601" s="27"/>
      <c r="P601" s="26"/>
      <c r="Q601" s="27"/>
      <c r="R601" s="28"/>
      <c r="S601" s="28"/>
      <c r="U601" s="45"/>
    </row>
    <row r="602" spans="1:21" x14ac:dyDescent="0.25">
      <c r="A602" s="228"/>
      <c r="G602" s="38"/>
      <c r="H602" s="38"/>
      <c r="I602" s="38"/>
      <c r="K602" s="52"/>
      <c r="L602" s="38"/>
      <c r="M602" s="38"/>
      <c r="O602" s="27"/>
      <c r="P602" s="26"/>
      <c r="Q602" s="27"/>
      <c r="R602" s="28"/>
      <c r="S602" s="28"/>
      <c r="U602" s="45"/>
    </row>
    <row r="603" spans="1:21" x14ac:dyDescent="0.25">
      <c r="A603" s="228"/>
      <c r="G603" s="38"/>
      <c r="H603" s="38"/>
      <c r="I603" s="38"/>
      <c r="K603" s="52"/>
      <c r="L603" s="38"/>
      <c r="M603" s="38"/>
      <c r="O603" s="27"/>
      <c r="P603" s="26"/>
      <c r="Q603" s="27"/>
      <c r="R603" s="28"/>
      <c r="S603" s="28"/>
      <c r="U603" s="45"/>
    </row>
    <row r="604" spans="1:21" x14ac:dyDescent="0.25">
      <c r="A604" s="228"/>
      <c r="B604" s="5"/>
      <c r="C604" s="4"/>
      <c r="D604" s="5"/>
      <c r="E604" s="4"/>
      <c r="F604" s="4"/>
      <c r="G604" s="32"/>
      <c r="H604" s="32"/>
      <c r="I604" s="32"/>
      <c r="J604" s="5"/>
      <c r="K604" s="51"/>
      <c r="L604" s="32"/>
      <c r="M604" s="32"/>
      <c r="N604" s="5"/>
      <c r="O604" s="33"/>
      <c r="P604" s="26"/>
      <c r="Q604" s="27"/>
      <c r="R604" s="28"/>
      <c r="S604" s="28"/>
      <c r="U604" s="45"/>
    </row>
    <row r="605" spans="1:21" x14ac:dyDescent="0.25">
      <c r="A605" s="228"/>
      <c r="B605" s="5"/>
      <c r="C605" s="4"/>
      <c r="D605" s="5"/>
      <c r="E605" s="4"/>
      <c r="F605" s="4"/>
      <c r="G605" s="32"/>
      <c r="H605" s="32"/>
      <c r="I605" s="32"/>
      <c r="J605" s="5"/>
      <c r="K605" s="51"/>
      <c r="L605" s="32"/>
      <c r="M605" s="32"/>
      <c r="N605" s="5"/>
      <c r="O605" s="33"/>
      <c r="P605" s="26"/>
      <c r="Q605" s="27"/>
      <c r="R605" s="28"/>
      <c r="S605" s="28"/>
      <c r="U605" s="45"/>
    </row>
    <row r="606" spans="1:21" x14ac:dyDescent="0.25">
      <c r="A606" s="228"/>
      <c r="G606" s="38"/>
      <c r="H606" s="38"/>
      <c r="I606" s="38"/>
      <c r="K606" s="52"/>
      <c r="L606" s="38"/>
      <c r="M606" s="38"/>
      <c r="O606" s="27"/>
      <c r="P606" s="26"/>
      <c r="Q606" s="27"/>
      <c r="R606" s="28"/>
      <c r="S606" s="28"/>
      <c r="U606" s="45"/>
    </row>
    <row r="607" spans="1:21" x14ac:dyDescent="0.25">
      <c r="A607" s="228"/>
      <c r="B607" s="5"/>
      <c r="C607" s="4"/>
      <c r="G607" s="38"/>
      <c r="H607" s="38"/>
      <c r="I607" s="38"/>
      <c r="J607" s="5"/>
      <c r="K607" s="52"/>
      <c r="L607" s="38"/>
      <c r="M607" s="38"/>
      <c r="N607" s="5"/>
      <c r="O607" s="27"/>
      <c r="P607" s="26"/>
      <c r="Q607" s="27"/>
      <c r="R607" s="28"/>
      <c r="S607" s="28"/>
      <c r="U607" s="45"/>
    </row>
    <row r="608" spans="1:21" x14ac:dyDescent="0.25">
      <c r="A608" s="228"/>
      <c r="E608" s="4"/>
      <c r="G608" s="38"/>
      <c r="H608" s="38"/>
      <c r="I608" s="38"/>
      <c r="K608" s="52"/>
      <c r="L608" s="38"/>
      <c r="M608" s="38"/>
      <c r="O608" s="27"/>
      <c r="P608" s="26"/>
      <c r="Q608" s="27"/>
      <c r="R608" s="28"/>
      <c r="S608" s="28"/>
      <c r="U608" s="45"/>
    </row>
    <row r="609" spans="1:21" x14ac:dyDescent="0.25">
      <c r="A609" s="228"/>
      <c r="G609" s="38"/>
      <c r="H609" s="38"/>
      <c r="I609" s="38"/>
      <c r="K609" s="52"/>
      <c r="L609" s="38"/>
      <c r="M609" s="38"/>
      <c r="O609" s="27"/>
      <c r="P609" s="26"/>
      <c r="Q609" s="27"/>
      <c r="R609" s="28"/>
      <c r="S609" s="28"/>
      <c r="U609" s="45"/>
    </row>
    <row r="610" spans="1:21" x14ac:dyDescent="0.25">
      <c r="A610" s="228"/>
      <c r="B610" s="5"/>
      <c r="C610" s="4"/>
      <c r="D610" s="5"/>
      <c r="E610" s="4"/>
      <c r="F610" s="4"/>
      <c r="G610" s="32"/>
      <c r="H610" s="32"/>
      <c r="I610" s="32"/>
      <c r="J610" s="5"/>
      <c r="K610" s="51"/>
      <c r="L610" s="32"/>
      <c r="M610" s="32"/>
      <c r="N610" s="5"/>
      <c r="O610" s="33"/>
      <c r="P610" s="26"/>
      <c r="Q610" s="27"/>
      <c r="R610" s="28"/>
      <c r="S610" s="28"/>
      <c r="U610" s="45"/>
    </row>
    <row r="611" spans="1:21" x14ac:dyDescent="0.25">
      <c r="A611" s="228"/>
      <c r="G611" s="38"/>
      <c r="H611" s="38"/>
      <c r="I611" s="38"/>
      <c r="K611" s="52"/>
      <c r="L611" s="38"/>
      <c r="M611" s="38"/>
      <c r="O611" s="27"/>
      <c r="P611" s="26"/>
      <c r="Q611" s="27"/>
      <c r="R611" s="28"/>
      <c r="S611" s="28"/>
      <c r="U611" s="45"/>
    </row>
    <row r="612" spans="1:21" x14ac:dyDescent="0.25">
      <c r="A612" s="228"/>
      <c r="G612" s="38"/>
      <c r="H612" s="38"/>
      <c r="I612" s="38"/>
      <c r="K612" s="52"/>
      <c r="L612" s="38"/>
      <c r="M612" s="38"/>
      <c r="O612" s="27"/>
      <c r="P612" s="26"/>
      <c r="Q612" s="27"/>
      <c r="R612" s="28"/>
      <c r="S612" s="28"/>
      <c r="U612" s="45"/>
    </row>
    <row r="613" spans="1:21" x14ac:dyDescent="0.25">
      <c r="A613" s="228"/>
      <c r="G613" s="38"/>
      <c r="H613" s="38"/>
      <c r="I613" s="38"/>
      <c r="K613" s="52"/>
      <c r="L613" s="38"/>
      <c r="M613" s="38"/>
      <c r="O613" s="27"/>
      <c r="P613" s="26"/>
      <c r="Q613" s="27"/>
      <c r="R613" s="28"/>
      <c r="S613" s="28"/>
      <c r="U613" s="45"/>
    </row>
    <row r="614" spans="1:21" x14ac:dyDescent="0.25">
      <c r="A614" s="228"/>
      <c r="B614" s="5"/>
      <c r="C614" s="4"/>
      <c r="D614" s="5"/>
      <c r="E614" s="4"/>
      <c r="F614" s="4"/>
      <c r="G614" s="32"/>
      <c r="H614" s="32"/>
      <c r="I614" s="32"/>
      <c r="J614" s="5"/>
      <c r="K614" s="51"/>
      <c r="L614" s="32"/>
      <c r="M614" s="32"/>
      <c r="N614" s="5"/>
      <c r="O614" s="33"/>
      <c r="P614" s="26"/>
      <c r="Q614" s="27"/>
      <c r="R614" s="28"/>
      <c r="S614" s="28"/>
      <c r="U614" s="45"/>
    </row>
    <row r="615" spans="1:21" x14ac:dyDescent="0.25">
      <c r="A615" s="228"/>
      <c r="B615" s="5"/>
      <c r="C615" s="4"/>
      <c r="D615" s="5"/>
      <c r="E615" s="4"/>
      <c r="F615" s="4"/>
      <c r="G615" s="32"/>
      <c r="H615" s="32"/>
      <c r="I615" s="32"/>
      <c r="J615" s="5"/>
      <c r="K615" s="51"/>
      <c r="L615" s="32"/>
      <c r="M615" s="32"/>
      <c r="N615" s="5"/>
      <c r="O615" s="33"/>
      <c r="P615" s="26"/>
      <c r="Q615" s="27"/>
      <c r="R615" s="28"/>
      <c r="S615" s="28"/>
      <c r="U615" s="45"/>
    </row>
    <row r="616" spans="1:21" x14ac:dyDescent="0.25">
      <c r="A616" s="228"/>
      <c r="B616" s="5"/>
      <c r="C616" s="4"/>
      <c r="D616" s="5"/>
      <c r="E616" s="4"/>
      <c r="F616" s="4"/>
      <c r="G616" s="32"/>
      <c r="H616" s="32"/>
      <c r="I616" s="32"/>
      <c r="J616" s="5"/>
      <c r="K616" s="51"/>
      <c r="L616" s="32"/>
      <c r="M616" s="32"/>
      <c r="N616" s="5"/>
      <c r="O616" s="33"/>
      <c r="P616" s="26"/>
      <c r="Q616" s="27"/>
      <c r="R616" s="28"/>
      <c r="S616" s="28"/>
      <c r="U616" s="45"/>
    </row>
    <row r="617" spans="1:21" x14ac:dyDescent="0.25">
      <c r="A617" s="228"/>
      <c r="G617" s="38"/>
      <c r="H617" s="38"/>
      <c r="I617" s="38"/>
      <c r="K617" s="52"/>
      <c r="L617" s="38"/>
      <c r="M617" s="38"/>
      <c r="O617" s="27"/>
      <c r="P617" s="26"/>
      <c r="Q617" s="27"/>
      <c r="R617" s="28"/>
      <c r="S617" s="28"/>
      <c r="U617" s="45"/>
    </row>
    <row r="618" spans="1:21" x14ac:dyDescent="0.25">
      <c r="A618" s="228"/>
      <c r="G618" s="38"/>
      <c r="H618" s="38"/>
      <c r="I618" s="38"/>
      <c r="K618" s="52"/>
      <c r="L618" s="38"/>
      <c r="M618" s="38"/>
      <c r="O618" s="27"/>
      <c r="P618" s="26"/>
      <c r="Q618" s="27"/>
      <c r="R618" s="28"/>
      <c r="S618" s="28"/>
      <c r="U618" s="45"/>
    </row>
    <row r="619" spans="1:21" x14ac:dyDescent="0.25">
      <c r="A619" s="228"/>
      <c r="B619" s="5"/>
      <c r="C619" s="4"/>
      <c r="D619" s="5"/>
      <c r="E619" s="4"/>
      <c r="F619" s="4"/>
      <c r="G619" s="32"/>
      <c r="H619" s="32"/>
      <c r="I619" s="32"/>
      <c r="J619" s="5"/>
      <c r="K619" s="51"/>
      <c r="L619" s="32"/>
      <c r="M619" s="32"/>
      <c r="N619" s="5"/>
      <c r="O619" s="33"/>
      <c r="P619" s="26"/>
      <c r="Q619" s="27"/>
      <c r="R619" s="28"/>
      <c r="S619" s="28"/>
      <c r="U619" s="45"/>
    </row>
    <row r="620" spans="1:21" x14ac:dyDescent="0.25">
      <c r="A620" s="228"/>
      <c r="G620" s="38"/>
      <c r="H620" s="38"/>
      <c r="I620" s="38"/>
      <c r="K620" s="52"/>
      <c r="L620" s="38"/>
      <c r="M620" s="38"/>
      <c r="O620" s="27"/>
      <c r="P620" s="26"/>
      <c r="Q620" s="27"/>
      <c r="R620" s="28"/>
      <c r="S620" s="28"/>
      <c r="U620" s="45"/>
    </row>
    <row r="621" spans="1:21" x14ac:dyDescent="0.25">
      <c r="A621" s="228"/>
      <c r="B621" s="5"/>
      <c r="C621" s="4"/>
      <c r="D621" s="5"/>
      <c r="E621" s="4"/>
      <c r="F621" s="4"/>
      <c r="G621" s="32"/>
      <c r="H621" s="32"/>
      <c r="I621" s="32"/>
      <c r="J621" s="5"/>
      <c r="K621" s="51"/>
      <c r="L621" s="32"/>
      <c r="M621" s="32"/>
      <c r="N621" s="5"/>
      <c r="O621" s="33"/>
      <c r="P621" s="26"/>
      <c r="Q621" s="27"/>
      <c r="R621" s="28"/>
      <c r="S621" s="28"/>
      <c r="U621" s="45"/>
    </row>
    <row r="622" spans="1:21" x14ac:dyDescent="0.25">
      <c r="A622" s="228"/>
      <c r="B622" s="5"/>
      <c r="C622" s="4"/>
      <c r="D622" s="5"/>
      <c r="E622" s="4"/>
      <c r="F622" s="4"/>
      <c r="G622" s="32"/>
      <c r="H622" s="32"/>
      <c r="I622" s="32"/>
      <c r="J622" s="5"/>
      <c r="K622" s="51"/>
      <c r="L622" s="32"/>
      <c r="M622" s="32"/>
      <c r="N622" s="5"/>
      <c r="O622" s="33"/>
      <c r="P622" s="26"/>
      <c r="Q622" s="27"/>
      <c r="R622" s="28"/>
      <c r="S622" s="28"/>
      <c r="U622" s="45"/>
    </row>
    <row r="623" spans="1:21" x14ac:dyDescent="0.25">
      <c r="A623" s="228"/>
      <c r="B623" s="5"/>
      <c r="C623" s="4"/>
      <c r="D623" s="5"/>
      <c r="E623" s="4"/>
      <c r="F623" s="4"/>
      <c r="G623" s="32"/>
      <c r="H623" s="32"/>
      <c r="I623" s="32"/>
      <c r="J623" s="5"/>
      <c r="K623" s="51"/>
      <c r="L623" s="32"/>
      <c r="M623" s="32"/>
      <c r="N623" s="5"/>
      <c r="O623" s="33"/>
      <c r="P623" s="26"/>
      <c r="Q623" s="27"/>
      <c r="R623" s="28"/>
      <c r="S623" s="28"/>
      <c r="U623" s="45"/>
    </row>
    <row r="624" spans="1:21" x14ac:dyDescent="0.25">
      <c r="A624" s="228"/>
      <c r="B624" s="5"/>
      <c r="C624" s="4"/>
      <c r="D624" s="5"/>
      <c r="E624" s="4"/>
      <c r="F624" s="4"/>
      <c r="G624" s="32"/>
      <c r="H624" s="32"/>
      <c r="I624" s="32"/>
      <c r="J624" s="5"/>
      <c r="K624" s="51"/>
      <c r="L624" s="32"/>
      <c r="M624" s="32"/>
      <c r="N624" s="5"/>
      <c r="O624" s="33"/>
      <c r="P624" s="26"/>
      <c r="Q624" s="27"/>
      <c r="R624" s="28"/>
      <c r="S624" s="28"/>
      <c r="U624" s="45"/>
    </row>
    <row r="625" spans="1:21" x14ac:dyDescent="0.25">
      <c r="A625" s="228"/>
      <c r="B625" s="5"/>
      <c r="D625" s="5"/>
      <c r="E625" s="4"/>
      <c r="F625" s="4"/>
      <c r="G625" s="32"/>
      <c r="H625" s="32"/>
      <c r="I625" s="32"/>
      <c r="K625" s="51"/>
      <c r="L625" s="32"/>
      <c r="M625" s="32"/>
      <c r="O625" s="33"/>
      <c r="P625" s="26"/>
      <c r="Q625" s="27"/>
      <c r="R625" s="28"/>
      <c r="S625" s="28"/>
      <c r="U625" s="45"/>
    </row>
    <row r="626" spans="1:21" x14ac:dyDescent="0.25">
      <c r="A626" s="228"/>
      <c r="B626" s="5"/>
      <c r="C626" s="4"/>
      <c r="D626" s="5"/>
      <c r="E626" s="4"/>
      <c r="F626" s="4"/>
      <c r="G626" s="32"/>
      <c r="H626" s="32"/>
      <c r="I626" s="32"/>
      <c r="J626" s="5"/>
      <c r="K626" s="51"/>
      <c r="L626" s="32"/>
      <c r="M626" s="32"/>
      <c r="N626" s="5"/>
      <c r="O626" s="33"/>
      <c r="P626" s="26"/>
      <c r="Q626" s="27"/>
      <c r="R626" s="28"/>
      <c r="S626" s="28"/>
      <c r="U626" s="45"/>
    </row>
    <row r="627" spans="1:21" x14ac:dyDescent="0.25">
      <c r="A627" s="228"/>
      <c r="G627" s="38"/>
      <c r="H627" s="38"/>
      <c r="I627" s="38"/>
      <c r="K627" s="52"/>
      <c r="L627" s="38"/>
      <c r="M627" s="38"/>
      <c r="O627" s="27"/>
      <c r="P627" s="26"/>
      <c r="Q627" s="27"/>
      <c r="R627" s="28"/>
      <c r="S627" s="28"/>
      <c r="U627" s="45"/>
    </row>
    <row r="628" spans="1:21" x14ac:dyDescent="0.25">
      <c r="A628" s="228"/>
      <c r="G628" s="38"/>
      <c r="H628" s="38"/>
      <c r="I628" s="38"/>
      <c r="K628" s="52"/>
      <c r="L628" s="38"/>
      <c r="M628" s="38"/>
      <c r="O628" s="27"/>
      <c r="P628" s="26"/>
      <c r="Q628" s="27"/>
      <c r="R628" s="28"/>
      <c r="S628" s="28"/>
      <c r="U628" s="45"/>
    </row>
    <row r="629" spans="1:21" x14ac:dyDescent="0.25">
      <c r="A629" s="228"/>
      <c r="G629" s="38"/>
      <c r="H629" s="38"/>
      <c r="I629" s="38"/>
      <c r="K629" s="52"/>
      <c r="L629" s="38"/>
      <c r="M629" s="38"/>
      <c r="O629" s="27"/>
      <c r="P629" s="26"/>
      <c r="Q629" s="27"/>
      <c r="R629" s="28"/>
      <c r="S629" s="28"/>
      <c r="U629" s="45"/>
    </row>
    <row r="630" spans="1:21" x14ac:dyDescent="0.25">
      <c r="A630" s="228"/>
      <c r="G630" s="38"/>
      <c r="H630" s="38"/>
      <c r="I630" s="38"/>
      <c r="K630" s="52"/>
      <c r="L630" s="38"/>
      <c r="M630" s="38"/>
      <c r="O630" s="27"/>
      <c r="P630" s="26"/>
      <c r="Q630" s="27"/>
      <c r="R630" s="28"/>
      <c r="S630" s="28"/>
      <c r="U630" s="45"/>
    </row>
    <row r="631" spans="1:21" x14ac:dyDescent="0.25">
      <c r="A631" s="228"/>
      <c r="B631" s="5"/>
      <c r="C631" s="4"/>
      <c r="D631" s="5"/>
      <c r="E631" s="4"/>
      <c r="F631" s="4"/>
      <c r="G631" s="32"/>
      <c r="H631" s="32"/>
      <c r="I631" s="32"/>
      <c r="J631" s="5"/>
      <c r="K631" s="51"/>
      <c r="L631" s="32"/>
      <c r="M631" s="32"/>
      <c r="N631" s="5"/>
      <c r="O631" s="33"/>
      <c r="P631" s="26"/>
      <c r="Q631" s="27"/>
      <c r="R631" s="28"/>
      <c r="S631" s="28"/>
      <c r="U631" s="45"/>
    </row>
    <row r="632" spans="1:21" x14ac:dyDescent="0.25">
      <c r="A632" s="228"/>
      <c r="G632" s="38"/>
      <c r="H632" s="38"/>
      <c r="I632" s="38"/>
      <c r="K632" s="52"/>
      <c r="L632" s="38"/>
      <c r="M632" s="38"/>
      <c r="O632" s="27"/>
      <c r="P632" s="26"/>
      <c r="Q632" s="27"/>
      <c r="R632" s="28"/>
      <c r="S632" s="28"/>
      <c r="U632" s="45"/>
    </row>
    <row r="633" spans="1:21" x14ac:dyDescent="0.25">
      <c r="A633" s="228"/>
      <c r="B633" s="5"/>
      <c r="C633" s="4"/>
      <c r="D633" s="5"/>
      <c r="E633" s="4"/>
      <c r="F633" s="4"/>
      <c r="G633" s="32"/>
      <c r="H633" s="32"/>
      <c r="I633" s="32"/>
      <c r="J633" s="5"/>
      <c r="K633" s="51"/>
      <c r="L633" s="32"/>
      <c r="M633" s="32"/>
      <c r="N633" s="5"/>
      <c r="O633" s="33"/>
      <c r="P633" s="26"/>
      <c r="Q633" s="27"/>
      <c r="R633" s="28"/>
      <c r="S633" s="28"/>
      <c r="U633" s="45"/>
    </row>
    <row r="634" spans="1:21" x14ac:dyDescent="0.25">
      <c r="A634" s="228"/>
      <c r="B634" s="5"/>
      <c r="C634" s="4"/>
      <c r="D634" s="5"/>
      <c r="E634" s="4"/>
      <c r="F634" s="4"/>
      <c r="G634" s="32"/>
      <c r="H634" s="32"/>
      <c r="I634" s="32"/>
      <c r="J634" s="5"/>
      <c r="K634" s="51"/>
      <c r="L634" s="32"/>
      <c r="M634" s="32"/>
      <c r="N634" s="5"/>
      <c r="O634" s="33"/>
      <c r="P634" s="26"/>
      <c r="Q634" s="27"/>
      <c r="R634" s="28"/>
      <c r="S634" s="28"/>
      <c r="U634" s="45"/>
    </row>
    <row r="635" spans="1:21" x14ac:dyDescent="0.25">
      <c r="A635" s="228"/>
      <c r="B635" s="5"/>
      <c r="C635" s="4"/>
      <c r="D635" s="5"/>
      <c r="E635" s="4"/>
      <c r="F635" s="4"/>
      <c r="G635" s="32"/>
      <c r="H635" s="32"/>
      <c r="I635" s="32"/>
      <c r="J635" s="5"/>
      <c r="K635" s="51"/>
      <c r="L635" s="32"/>
      <c r="M635" s="32"/>
      <c r="N635" s="5"/>
      <c r="O635" s="33"/>
      <c r="P635" s="26"/>
      <c r="Q635" s="27"/>
      <c r="R635" s="28"/>
      <c r="S635" s="28"/>
      <c r="U635" s="45"/>
    </row>
    <row r="636" spans="1:21" x14ac:dyDescent="0.25">
      <c r="A636" s="228"/>
      <c r="B636" s="5"/>
      <c r="C636" s="4"/>
      <c r="D636" s="5"/>
      <c r="E636" s="4"/>
      <c r="F636" s="4"/>
      <c r="G636" s="32"/>
      <c r="H636" s="32"/>
      <c r="I636" s="32"/>
      <c r="J636" s="5"/>
      <c r="K636" s="51"/>
      <c r="L636" s="32"/>
      <c r="M636" s="32"/>
      <c r="N636" s="5"/>
      <c r="O636" s="33"/>
      <c r="P636" s="26"/>
      <c r="Q636" s="27"/>
      <c r="R636" s="28"/>
      <c r="S636" s="28"/>
      <c r="U636" s="45"/>
    </row>
    <row r="637" spans="1:21" x14ac:dyDescent="0.25">
      <c r="A637" s="228"/>
      <c r="B637" s="5"/>
      <c r="C637" s="4"/>
      <c r="D637" s="5"/>
      <c r="E637" s="4"/>
      <c r="F637" s="4"/>
      <c r="G637" s="32"/>
      <c r="H637" s="32"/>
      <c r="I637" s="32"/>
      <c r="J637" s="5"/>
      <c r="K637" s="51"/>
      <c r="L637" s="32"/>
      <c r="M637" s="32"/>
      <c r="N637" s="5"/>
      <c r="O637" s="33"/>
      <c r="P637" s="26"/>
      <c r="Q637" s="27"/>
      <c r="R637" s="28"/>
      <c r="S637" s="28"/>
      <c r="U637" s="45"/>
    </row>
    <row r="638" spans="1:21" x14ac:dyDescent="0.25">
      <c r="A638" s="228"/>
      <c r="B638" s="5"/>
      <c r="C638" s="4"/>
      <c r="D638" s="5"/>
      <c r="E638" s="4"/>
      <c r="F638" s="4"/>
      <c r="G638" s="32"/>
      <c r="H638" s="32"/>
      <c r="I638" s="32"/>
      <c r="J638" s="5"/>
      <c r="K638" s="51"/>
      <c r="L638" s="32"/>
      <c r="M638" s="32"/>
      <c r="N638" s="5"/>
      <c r="O638" s="33"/>
      <c r="P638" s="26"/>
      <c r="Q638" s="27"/>
      <c r="R638" s="28"/>
      <c r="S638" s="28"/>
      <c r="U638" s="45"/>
    </row>
    <row r="639" spans="1:21" x14ac:dyDescent="0.25">
      <c r="A639" s="228"/>
      <c r="G639" s="38"/>
      <c r="H639" s="38"/>
      <c r="I639" s="38"/>
      <c r="K639" s="52"/>
      <c r="L639" s="38"/>
      <c r="M639" s="38"/>
      <c r="O639" s="27"/>
      <c r="P639" s="26"/>
      <c r="Q639" s="27"/>
      <c r="R639" s="28"/>
      <c r="S639" s="28"/>
      <c r="U639" s="45"/>
    </row>
    <row r="640" spans="1:21" x14ac:dyDescent="0.25">
      <c r="A640" s="228"/>
      <c r="C640" s="4"/>
      <c r="F640" s="4"/>
      <c r="G640" s="38"/>
      <c r="H640" s="38"/>
      <c r="I640" s="38"/>
      <c r="J640" s="5"/>
      <c r="K640" s="52"/>
      <c r="L640" s="38"/>
      <c r="M640" s="38"/>
      <c r="N640" s="5"/>
      <c r="O640" s="27"/>
      <c r="P640" s="26"/>
      <c r="Q640" s="27"/>
      <c r="R640" s="28"/>
      <c r="S640" s="28"/>
      <c r="U640" s="45"/>
    </row>
    <row r="641" spans="1:21" x14ac:dyDescent="0.25">
      <c r="A641" s="228"/>
      <c r="G641" s="38"/>
      <c r="H641" s="38"/>
      <c r="I641" s="38"/>
      <c r="K641" s="52"/>
      <c r="L641" s="38"/>
      <c r="M641" s="38"/>
      <c r="O641" s="27"/>
      <c r="P641" s="26"/>
      <c r="Q641" s="27"/>
      <c r="R641" s="28"/>
      <c r="S641" s="28"/>
      <c r="U641" s="45"/>
    </row>
    <row r="642" spans="1:21" x14ac:dyDescent="0.25">
      <c r="A642" s="228"/>
      <c r="G642" s="38"/>
      <c r="H642" s="38"/>
      <c r="I642" s="38"/>
      <c r="K642" s="52"/>
      <c r="L642" s="38"/>
      <c r="M642" s="38"/>
      <c r="O642" s="27"/>
      <c r="P642" s="26"/>
      <c r="Q642" s="27"/>
      <c r="R642" s="28"/>
      <c r="S642" s="28"/>
      <c r="U642" s="45"/>
    </row>
    <row r="643" spans="1:21" x14ac:dyDescent="0.25">
      <c r="A643" s="228"/>
      <c r="G643" s="38"/>
      <c r="H643" s="38"/>
      <c r="I643" s="38"/>
      <c r="K643" s="52"/>
      <c r="L643" s="38"/>
      <c r="M643" s="38"/>
      <c r="O643" s="27"/>
      <c r="P643" s="26"/>
      <c r="Q643" s="27"/>
      <c r="R643" s="28"/>
      <c r="S643" s="28"/>
      <c r="U643" s="45"/>
    </row>
    <row r="644" spans="1:21" x14ac:dyDescent="0.25">
      <c r="A644" s="228"/>
      <c r="G644" s="38"/>
      <c r="H644" s="38"/>
      <c r="I644" s="38"/>
      <c r="K644" s="52"/>
      <c r="L644" s="38"/>
      <c r="M644" s="38"/>
      <c r="O644" s="27"/>
      <c r="P644" s="26"/>
      <c r="Q644" s="27"/>
      <c r="R644" s="28"/>
      <c r="S644" s="28"/>
      <c r="U644" s="45"/>
    </row>
    <row r="645" spans="1:21" x14ac:dyDescent="0.25">
      <c r="A645" s="228"/>
      <c r="G645" s="38"/>
      <c r="H645" s="38"/>
      <c r="I645" s="38"/>
      <c r="K645" s="52"/>
      <c r="L645" s="38"/>
      <c r="M645" s="38"/>
      <c r="O645" s="27"/>
      <c r="P645" s="26"/>
      <c r="Q645" s="27"/>
      <c r="R645" s="28"/>
      <c r="S645" s="28"/>
      <c r="U645" s="45"/>
    </row>
    <row r="646" spans="1:21" x14ac:dyDescent="0.25">
      <c r="A646" s="228"/>
      <c r="C646" s="4"/>
      <c r="G646" s="38"/>
      <c r="H646" s="38"/>
      <c r="I646" s="38"/>
      <c r="J646" s="5"/>
      <c r="K646" s="52"/>
      <c r="L646" s="38"/>
      <c r="M646" s="38"/>
      <c r="N646" s="5"/>
      <c r="O646" s="27"/>
      <c r="P646" s="26"/>
      <c r="Q646" s="27"/>
      <c r="R646" s="28"/>
      <c r="S646" s="28"/>
      <c r="U646" s="45"/>
    </row>
    <row r="647" spans="1:21" x14ac:dyDescent="0.25">
      <c r="A647" s="228"/>
      <c r="B647" s="5"/>
      <c r="C647" s="4"/>
      <c r="D647" s="5"/>
      <c r="E647" s="4"/>
      <c r="F647" s="4"/>
      <c r="G647" s="32"/>
      <c r="H647" s="32"/>
      <c r="I647" s="32"/>
      <c r="J647" s="5"/>
      <c r="K647" s="51"/>
      <c r="L647" s="32"/>
      <c r="M647" s="32"/>
      <c r="N647" s="5"/>
      <c r="O647" s="33"/>
      <c r="P647" s="26"/>
      <c r="Q647" s="27"/>
      <c r="R647" s="28"/>
      <c r="S647" s="28"/>
      <c r="U647" s="45"/>
    </row>
    <row r="648" spans="1:21" x14ac:dyDescent="0.25">
      <c r="A648" s="228"/>
      <c r="B648" s="5"/>
      <c r="C648" s="4"/>
      <c r="D648" s="5"/>
      <c r="E648" s="4"/>
      <c r="F648" s="4"/>
      <c r="G648" s="32"/>
      <c r="H648" s="32"/>
      <c r="I648" s="32"/>
      <c r="J648" s="5"/>
      <c r="K648" s="51"/>
      <c r="L648" s="32"/>
      <c r="M648" s="32"/>
      <c r="N648" s="5"/>
      <c r="O648" s="33"/>
      <c r="P648" s="26"/>
      <c r="Q648" s="27"/>
      <c r="R648" s="28"/>
      <c r="S648" s="28"/>
      <c r="U648" s="45"/>
    </row>
    <row r="649" spans="1:21" x14ac:dyDescent="0.25">
      <c r="A649" s="228"/>
      <c r="C649" s="4"/>
      <c r="G649" s="38"/>
      <c r="H649" s="38"/>
      <c r="I649" s="38"/>
      <c r="J649" s="5"/>
      <c r="K649" s="52"/>
      <c r="L649" s="38"/>
      <c r="M649" s="38"/>
      <c r="N649" s="5"/>
      <c r="O649" s="27"/>
      <c r="P649" s="26"/>
      <c r="Q649" s="27"/>
      <c r="R649" s="28"/>
      <c r="S649" s="28"/>
      <c r="U649" s="45"/>
    </row>
    <row r="650" spans="1:21" x14ac:dyDescent="0.25">
      <c r="A650" s="228"/>
      <c r="G650" s="38"/>
      <c r="H650" s="38"/>
      <c r="I650" s="38"/>
      <c r="K650" s="52"/>
      <c r="L650" s="38"/>
      <c r="M650" s="38"/>
      <c r="O650" s="27"/>
      <c r="P650" s="26"/>
      <c r="Q650" s="27"/>
      <c r="R650" s="28"/>
      <c r="S650" s="28"/>
      <c r="U650" s="45"/>
    </row>
    <row r="651" spans="1:21" x14ac:dyDescent="0.25">
      <c r="A651" s="228"/>
      <c r="C651" s="4"/>
      <c r="G651" s="38"/>
      <c r="H651" s="38"/>
      <c r="I651" s="38"/>
      <c r="J651" s="5"/>
      <c r="K651" s="52"/>
      <c r="L651" s="38"/>
      <c r="M651" s="38"/>
      <c r="N651" s="5"/>
      <c r="O651" s="27"/>
      <c r="P651" s="26"/>
      <c r="Q651" s="27"/>
      <c r="R651" s="28"/>
      <c r="S651" s="28"/>
      <c r="U651" s="45"/>
    </row>
    <row r="652" spans="1:21" x14ac:dyDescent="0.25">
      <c r="A652" s="228"/>
      <c r="G652" s="38"/>
      <c r="H652" s="38"/>
      <c r="I652" s="38"/>
      <c r="K652" s="52"/>
      <c r="L652" s="38"/>
      <c r="M652" s="38"/>
      <c r="O652" s="27"/>
      <c r="P652" s="26"/>
      <c r="Q652" s="27"/>
      <c r="R652" s="28"/>
      <c r="S652" s="28"/>
      <c r="U652" s="45"/>
    </row>
    <row r="653" spans="1:21" x14ac:dyDescent="0.25">
      <c r="A653" s="228"/>
      <c r="B653" s="5"/>
      <c r="C653" s="4"/>
      <c r="D653" s="5"/>
      <c r="E653" s="4"/>
      <c r="F653" s="4"/>
      <c r="G653" s="32"/>
      <c r="H653" s="32"/>
      <c r="I653" s="32"/>
      <c r="J653" s="5"/>
      <c r="K653" s="51"/>
      <c r="L653" s="32"/>
      <c r="M653" s="32"/>
      <c r="N653" s="5"/>
      <c r="O653" s="33"/>
      <c r="P653" s="26"/>
      <c r="Q653" s="27"/>
      <c r="R653" s="28"/>
      <c r="S653" s="28"/>
      <c r="U653" s="45"/>
    </row>
    <row r="654" spans="1:21" x14ac:dyDescent="0.25">
      <c r="A654" s="228"/>
      <c r="B654" s="5"/>
      <c r="C654" s="4"/>
      <c r="D654" s="5"/>
      <c r="E654" s="4"/>
      <c r="F654" s="4"/>
      <c r="G654" s="32"/>
      <c r="H654" s="32"/>
      <c r="I654" s="32"/>
      <c r="J654" s="5"/>
      <c r="K654" s="51"/>
      <c r="L654" s="32"/>
      <c r="M654" s="32"/>
      <c r="N654" s="5"/>
      <c r="O654" s="33"/>
      <c r="P654" s="26"/>
      <c r="Q654" s="27"/>
      <c r="R654" s="28"/>
      <c r="S654" s="28"/>
      <c r="U654" s="45"/>
    </row>
    <row r="655" spans="1:21" x14ac:dyDescent="0.25">
      <c r="A655" s="228"/>
      <c r="B655" s="5"/>
      <c r="C655" s="4"/>
      <c r="D655" s="5"/>
      <c r="E655" s="4"/>
      <c r="F655" s="4"/>
      <c r="G655" s="32"/>
      <c r="H655" s="32"/>
      <c r="I655" s="32"/>
      <c r="J655" s="5"/>
      <c r="K655" s="51"/>
      <c r="L655" s="32"/>
      <c r="M655" s="32"/>
      <c r="N655" s="5"/>
      <c r="O655" s="33"/>
      <c r="P655" s="26"/>
      <c r="Q655" s="27"/>
      <c r="R655" s="28"/>
      <c r="S655" s="28"/>
      <c r="U655" s="45"/>
    </row>
    <row r="656" spans="1:21" x14ac:dyDescent="0.25">
      <c r="A656" s="228"/>
      <c r="B656" s="5"/>
      <c r="C656" s="4"/>
      <c r="D656" s="5"/>
      <c r="E656" s="4"/>
      <c r="F656" s="4"/>
      <c r="G656" s="32"/>
      <c r="H656" s="32"/>
      <c r="I656" s="32"/>
      <c r="J656" s="5"/>
      <c r="K656" s="51"/>
      <c r="L656" s="32"/>
      <c r="M656" s="32"/>
      <c r="N656" s="5"/>
      <c r="O656" s="33"/>
      <c r="P656" s="26"/>
      <c r="Q656" s="27"/>
      <c r="R656" s="28"/>
      <c r="S656" s="28"/>
      <c r="U656" s="45"/>
    </row>
    <row r="657" spans="1:21" x14ac:dyDescent="0.25">
      <c r="A657" s="228"/>
      <c r="B657" s="5"/>
      <c r="C657" s="4"/>
      <c r="D657" s="5"/>
      <c r="E657" s="4"/>
      <c r="F657" s="4"/>
      <c r="G657" s="32"/>
      <c r="H657" s="32"/>
      <c r="I657" s="32"/>
      <c r="J657" s="5"/>
      <c r="K657" s="51"/>
      <c r="L657" s="32"/>
      <c r="M657" s="32"/>
      <c r="N657" s="5"/>
      <c r="O657" s="33"/>
      <c r="P657" s="26"/>
      <c r="Q657" s="27"/>
      <c r="R657" s="28"/>
      <c r="S657" s="28"/>
      <c r="U657" s="45"/>
    </row>
    <row r="658" spans="1:21" x14ac:dyDescent="0.25">
      <c r="A658" s="228"/>
      <c r="B658" s="5"/>
      <c r="C658" s="4"/>
      <c r="D658" s="5"/>
      <c r="E658" s="4"/>
      <c r="F658" s="4"/>
      <c r="G658" s="32"/>
      <c r="H658" s="32"/>
      <c r="I658" s="32"/>
      <c r="J658" s="5"/>
      <c r="K658" s="51"/>
      <c r="L658" s="32"/>
      <c r="M658" s="32"/>
      <c r="N658" s="5"/>
      <c r="O658" s="33"/>
      <c r="P658" s="26"/>
      <c r="Q658" s="27"/>
      <c r="R658" s="28"/>
      <c r="S658" s="28"/>
      <c r="U658" s="45"/>
    </row>
    <row r="659" spans="1:21" x14ac:dyDescent="0.25">
      <c r="A659" s="228"/>
      <c r="B659" s="5"/>
      <c r="C659" s="4"/>
      <c r="D659" s="5"/>
      <c r="E659" s="4"/>
      <c r="F659" s="4"/>
      <c r="G659" s="32"/>
      <c r="H659" s="32"/>
      <c r="I659" s="32"/>
      <c r="J659" s="5"/>
      <c r="K659" s="51"/>
      <c r="L659" s="32"/>
      <c r="M659" s="32"/>
      <c r="N659" s="5"/>
      <c r="O659" s="33"/>
      <c r="P659" s="26"/>
      <c r="Q659" s="27"/>
      <c r="R659" s="28"/>
      <c r="S659" s="28"/>
      <c r="U659" s="45"/>
    </row>
    <row r="660" spans="1:21" x14ac:dyDescent="0.25">
      <c r="A660" s="228"/>
      <c r="C660" s="4"/>
      <c r="F660" s="41"/>
      <c r="G660" s="38"/>
      <c r="H660" s="38"/>
      <c r="I660" s="38"/>
      <c r="J660" s="5"/>
      <c r="K660" s="52"/>
      <c r="L660" s="38"/>
      <c r="M660" s="38"/>
      <c r="N660" s="5"/>
      <c r="O660" s="27"/>
      <c r="P660" s="26"/>
      <c r="Q660" s="27"/>
      <c r="R660" s="28"/>
      <c r="S660" s="28"/>
      <c r="U660" s="45"/>
    </row>
    <row r="661" spans="1:21" x14ac:dyDescent="0.25">
      <c r="A661" s="228"/>
      <c r="B661" s="5"/>
      <c r="C661" s="4"/>
      <c r="D661" s="5"/>
      <c r="E661" s="4"/>
      <c r="F661" s="4"/>
      <c r="G661" s="32"/>
      <c r="H661" s="32"/>
      <c r="I661" s="32"/>
      <c r="J661" s="5"/>
      <c r="K661" s="51"/>
      <c r="L661" s="32"/>
      <c r="M661" s="32"/>
      <c r="N661" s="5"/>
      <c r="O661" s="33"/>
      <c r="P661" s="26"/>
      <c r="Q661" s="27"/>
      <c r="R661" s="28"/>
      <c r="S661" s="28"/>
      <c r="U661" s="45"/>
    </row>
    <row r="662" spans="1:21" x14ac:dyDescent="0.25">
      <c r="A662" s="228"/>
      <c r="G662" s="38"/>
      <c r="H662" s="38"/>
      <c r="I662" s="38"/>
      <c r="K662" s="52"/>
      <c r="L662" s="38"/>
      <c r="M662" s="38"/>
      <c r="O662" s="27"/>
      <c r="P662" s="26"/>
      <c r="Q662" s="27"/>
      <c r="R662" s="28"/>
      <c r="S662" s="28"/>
      <c r="U662" s="45"/>
    </row>
    <row r="663" spans="1:21" x14ac:dyDescent="0.25">
      <c r="A663" s="228"/>
      <c r="G663" s="38"/>
      <c r="H663" s="38"/>
      <c r="I663" s="38"/>
      <c r="K663" s="52"/>
      <c r="L663" s="38"/>
      <c r="M663" s="38"/>
      <c r="O663" s="27"/>
      <c r="P663" s="26"/>
      <c r="Q663" s="27"/>
      <c r="R663" s="28"/>
      <c r="S663" s="28"/>
      <c r="U663" s="45"/>
    </row>
    <row r="664" spans="1:21" x14ac:dyDescent="0.25">
      <c r="A664" s="228"/>
      <c r="G664" s="38"/>
      <c r="H664" s="38"/>
      <c r="I664" s="38"/>
      <c r="K664" s="52"/>
      <c r="L664" s="38"/>
      <c r="M664" s="38"/>
      <c r="O664" s="27"/>
      <c r="P664" s="26"/>
      <c r="Q664" s="27"/>
      <c r="R664" s="28"/>
      <c r="S664" s="28"/>
      <c r="U664" s="45"/>
    </row>
    <row r="665" spans="1:21" x14ac:dyDescent="0.25">
      <c r="A665" s="228"/>
      <c r="C665" s="49"/>
      <c r="E665" s="49"/>
      <c r="G665" s="38"/>
      <c r="H665" s="38"/>
      <c r="I665" s="38"/>
      <c r="K665" s="52"/>
      <c r="L665" s="38"/>
      <c r="M665" s="38"/>
      <c r="O665" s="27"/>
      <c r="P665" s="26"/>
      <c r="Q665" s="27"/>
      <c r="R665" s="28"/>
      <c r="S665" s="28"/>
      <c r="U665" s="45"/>
    </row>
    <row r="666" spans="1:21" x14ac:dyDescent="0.25">
      <c r="A666" s="228"/>
      <c r="G666" s="38"/>
      <c r="H666" s="38"/>
      <c r="I666" s="38"/>
      <c r="K666" s="52"/>
      <c r="L666" s="38"/>
      <c r="M666" s="38"/>
      <c r="O666" s="27"/>
      <c r="P666" s="26"/>
      <c r="Q666" s="27"/>
      <c r="R666" s="28"/>
      <c r="S666" s="28"/>
      <c r="U666" s="45"/>
    </row>
    <row r="667" spans="1:21" x14ac:dyDescent="0.25">
      <c r="A667" s="228"/>
      <c r="G667" s="38"/>
      <c r="H667" s="38"/>
      <c r="I667" s="38"/>
      <c r="K667" s="52"/>
      <c r="L667" s="38"/>
      <c r="M667" s="38"/>
      <c r="O667" s="27"/>
      <c r="P667" s="26"/>
      <c r="Q667" s="27"/>
      <c r="R667" s="28"/>
      <c r="S667" s="28"/>
      <c r="U667" s="45"/>
    </row>
    <row r="668" spans="1:21" x14ac:dyDescent="0.25">
      <c r="A668" s="228"/>
      <c r="G668" s="38"/>
      <c r="H668" s="38"/>
      <c r="I668" s="38"/>
      <c r="K668" s="52"/>
      <c r="L668" s="38"/>
      <c r="M668" s="38"/>
      <c r="O668" s="27"/>
      <c r="P668" s="26"/>
      <c r="Q668" s="27"/>
      <c r="R668" s="28"/>
      <c r="S668" s="28"/>
      <c r="U668" s="45"/>
    </row>
    <row r="669" spans="1:21" x14ac:dyDescent="0.25">
      <c r="A669" s="228"/>
      <c r="B669" s="5"/>
      <c r="C669" s="4"/>
      <c r="D669" s="5"/>
      <c r="E669" s="4"/>
      <c r="F669" s="4"/>
      <c r="G669" s="32"/>
      <c r="H669" s="32"/>
      <c r="I669" s="32"/>
      <c r="J669" s="5"/>
      <c r="K669" s="51"/>
      <c r="L669" s="32"/>
      <c r="M669" s="32"/>
      <c r="N669" s="5"/>
      <c r="O669" s="33"/>
      <c r="P669" s="26"/>
      <c r="Q669" s="27"/>
      <c r="R669" s="28"/>
      <c r="S669" s="28"/>
      <c r="U669" s="45"/>
    </row>
    <row r="670" spans="1:21" x14ac:dyDescent="0.25">
      <c r="A670" s="228"/>
      <c r="B670" s="5"/>
      <c r="C670" s="4"/>
      <c r="D670" s="5"/>
      <c r="E670" s="4"/>
      <c r="F670" s="4"/>
      <c r="G670" s="32"/>
      <c r="H670" s="32"/>
      <c r="I670" s="32"/>
      <c r="J670" s="5"/>
      <c r="K670" s="51"/>
      <c r="L670" s="32"/>
      <c r="M670" s="32"/>
      <c r="N670" s="5"/>
      <c r="O670" s="33"/>
      <c r="P670" s="26"/>
      <c r="Q670" s="27"/>
      <c r="R670" s="28"/>
      <c r="S670" s="28"/>
      <c r="U670" s="45"/>
    </row>
    <row r="671" spans="1:21" x14ac:dyDescent="0.25">
      <c r="A671" s="228"/>
      <c r="B671" s="5"/>
      <c r="C671" s="4"/>
      <c r="D671" s="5"/>
      <c r="E671" s="4"/>
      <c r="F671" s="4"/>
      <c r="G671" s="32"/>
      <c r="H671" s="32"/>
      <c r="I671" s="32"/>
      <c r="J671" s="5"/>
      <c r="K671" s="51"/>
      <c r="L671" s="32"/>
      <c r="M671" s="32"/>
      <c r="N671" s="5"/>
      <c r="O671" s="33"/>
      <c r="P671" s="26"/>
      <c r="Q671" s="27"/>
      <c r="R671" s="28"/>
      <c r="S671" s="28"/>
      <c r="U671" s="45"/>
    </row>
    <row r="672" spans="1:21" x14ac:dyDescent="0.25">
      <c r="A672" s="228"/>
      <c r="B672" s="5"/>
      <c r="C672" s="4"/>
      <c r="D672" s="5"/>
      <c r="E672" s="4"/>
      <c r="F672" s="4"/>
      <c r="G672" s="32"/>
      <c r="H672" s="32"/>
      <c r="I672" s="32"/>
      <c r="J672" s="5"/>
      <c r="K672" s="51"/>
      <c r="L672" s="32"/>
      <c r="M672" s="32"/>
      <c r="N672" s="5"/>
      <c r="O672" s="33"/>
      <c r="P672" s="26"/>
      <c r="Q672" s="27"/>
      <c r="R672" s="28"/>
      <c r="S672" s="28"/>
      <c r="U672" s="45"/>
    </row>
    <row r="673" spans="1:21" x14ac:dyDescent="0.25">
      <c r="A673" s="228"/>
      <c r="G673" s="38"/>
      <c r="H673" s="38"/>
      <c r="I673" s="38"/>
      <c r="K673" s="52"/>
      <c r="L673" s="38"/>
      <c r="M673" s="38"/>
      <c r="O673" s="27"/>
      <c r="P673" s="26"/>
      <c r="Q673" s="27"/>
      <c r="R673" s="28"/>
      <c r="S673" s="28"/>
      <c r="U673" s="45"/>
    </row>
    <row r="674" spans="1:21" x14ac:dyDescent="0.25">
      <c r="A674" s="228"/>
      <c r="B674" s="5"/>
      <c r="D674" s="5"/>
      <c r="E674" s="4"/>
      <c r="F674" s="4"/>
      <c r="G674" s="32"/>
      <c r="H674" s="32"/>
      <c r="I674" s="32"/>
      <c r="J674" s="5"/>
      <c r="K674" s="51"/>
      <c r="L674" s="32"/>
      <c r="M674" s="32"/>
      <c r="N674" s="5"/>
      <c r="O674" s="33"/>
      <c r="P674" s="26"/>
      <c r="Q674" s="27"/>
      <c r="R674" s="28"/>
      <c r="S674" s="28"/>
      <c r="U674" s="45"/>
    </row>
    <row r="675" spans="1:21" x14ac:dyDescent="0.25">
      <c r="A675" s="228"/>
      <c r="B675" s="5"/>
      <c r="D675" s="5"/>
      <c r="E675" s="4"/>
      <c r="F675" s="4"/>
      <c r="G675" s="32"/>
      <c r="H675" s="32"/>
      <c r="I675" s="32"/>
      <c r="J675" s="5"/>
      <c r="K675" s="51"/>
      <c r="L675" s="32"/>
      <c r="M675" s="32"/>
      <c r="N675" s="5"/>
      <c r="O675" s="33"/>
      <c r="P675" s="26"/>
      <c r="Q675" s="27"/>
      <c r="R675" s="28"/>
      <c r="S675" s="28"/>
      <c r="U675" s="45"/>
    </row>
    <row r="676" spans="1:21" x14ac:dyDescent="0.25">
      <c r="A676" s="228"/>
      <c r="G676" s="38"/>
      <c r="H676" s="38"/>
      <c r="I676" s="38"/>
      <c r="K676" s="52"/>
      <c r="L676" s="38"/>
      <c r="M676" s="38"/>
      <c r="O676" s="27"/>
      <c r="P676" s="26"/>
      <c r="Q676" s="27"/>
      <c r="R676" s="28"/>
      <c r="S676" s="28"/>
      <c r="U676" s="45"/>
    </row>
    <row r="677" spans="1:21" x14ac:dyDescent="0.25">
      <c r="A677" s="228"/>
      <c r="B677" s="5"/>
      <c r="C677" s="4"/>
      <c r="D677" s="5"/>
      <c r="E677" s="4"/>
      <c r="F677" s="4"/>
      <c r="G677" s="32"/>
      <c r="H677" s="32"/>
      <c r="I677" s="32"/>
      <c r="J677" s="5"/>
      <c r="K677" s="51"/>
      <c r="L677" s="32"/>
      <c r="M677" s="32"/>
      <c r="N677" s="5"/>
      <c r="O677" s="33"/>
      <c r="P677" s="26"/>
      <c r="Q677" s="27"/>
      <c r="R677" s="28"/>
      <c r="S677" s="28"/>
      <c r="U677" s="45"/>
    </row>
    <row r="678" spans="1:21" x14ac:dyDescent="0.25">
      <c r="A678" s="228"/>
      <c r="B678" s="5"/>
      <c r="C678" s="4"/>
      <c r="D678" s="5"/>
      <c r="E678" s="4"/>
      <c r="F678" s="4"/>
      <c r="G678" s="32"/>
      <c r="H678" s="32"/>
      <c r="I678" s="32"/>
      <c r="J678" s="5"/>
      <c r="K678" s="51"/>
      <c r="L678" s="32"/>
      <c r="M678" s="32"/>
      <c r="N678" s="5"/>
      <c r="O678" s="33"/>
      <c r="P678" s="26"/>
      <c r="Q678" s="27"/>
      <c r="R678" s="28"/>
      <c r="S678" s="28"/>
      <c r="U678" s="45"/>
    </row>
    <row r="679" spans="1:21" x14ac:dyDescent="0.25">
      <c r="A679" s="228"/>
      <c r="B679" s="5"/>
      <c r="C679" s="4"/>
      <c r="D679" s="5"/>
      <c r="E679" s="4"/>
      <c r="F679" s="4"/>
      <c r="G679" s="32"/>
      <c r="H679" s="32"/>
      <c r="I679" s="32"/>
      <c r="J679" s="5"/>
      <c r="K679" s="51"/>
      <c r="L679" s="32"/>
      <c r="M679" s="32"/>
      <c r="N679" s="5"/>
      <c r="O679" s="33"/>
      <c r="P679" s="26"/>
      <c r="Q679" s="27"/>
      <c r="R679" s="28"/>
      <c r="S679" s="28"/>
      <c r="U679" s="45"/>
    </row>
    <row r="680" spans="1:21" x14ac:dyDescent="0.25">
      <c r="A680" s="228"/>
      <c r="B680" s="5"/>
      <c r="C680" s="4"/>
      <c r="E680" s="4"/>
      <c r="G680" s="38"/>
      <c r="H680" s="38"/>
      <c r="I680" s="38"/>
      <c r="J680" s="5"/>
      <c r="K680" s="52"/>
      <c r="L680" s="38"/>
      <c r="M680" s="38"/>
      <c r="N680" s="5"/>
      <c r="O680" s="27"/>
      <c r="P680" s="26"/>
      <c r="Q680" s="27"/>
      <c r="R680" s="28"/>
      <c r="S680" s="28"/>
      <c r="U680" s="45"/>
    </row>
    <row r="681" spans="1:21" x14ac:dyDescent="0.25">
      <c r="A681" s="228"/>
      <c r="G681" s="38"/>
      <c r="H681" s="38"/>
      <c r="I681" s="38"/>
      <c r="K681" s="52"/>
      <c r="L681" s="38"/>
      <c r="M681" s="38"/>
      <c r="O681" s="27"/>
      <c r="P681" s="26"/>
      <c r="Q681" s="27"/>
      <c r="R681" s="28"/>
      <c r="S681" s="28"/>
      <c r="U681" s="45"/>
    </row>
    <row r="682" spans="1:21" x14ac:dyDescent="0.25">
      <c r="A682" s="228"/>
      <c r="G682" s="38"/>
      <c r="H682" s="38"/>
      <c r="I682" s="38"/>
      <c r="K682" s="52"/>
      <c r="L682" s="38"/>
      <c r="M682" s="38"/>
      <c r="O682" s="27"/>
      <c r="P682" s="26"/>
      <c r="Q682" s="27"/>
      <c r="R682" s="28"/>
      <c r="S682" s="28"/>
      <c r="U682" s="45"/>
    </row>
    <row r="683" spans="1:21" x14ac:dyDescent="0.25">
      <c r="A683" s="228"/>
      <c r="G683" s="38"/>
      <c r="H683" s="38"/>
      <c r="I683" s="38"/>
      <c r="K683" s="52"/>
      <c r="L683" s="38"/>
      <c r="M683" s="38"/>
      <c r="O683" s="27"/>
      <c r="P683" s="26"/>
      <c r="Q683" s="27"/>
      <c r="R683" s="28"/>
      <c r="S683" s="28"/>
      <c r="U683" s="45"/>
    </row>
    <row r="684" spans="1:21" x14ac:dyDescent="0.25">
      <c r="A684" s="228"/>
      <c r="G684" s="38"/>
      <c r="H684" s="38"/>
      <c r="I684" s="38"/>
      <c r="K684" s="52"/>
      <c r="L684" s="38"/>
      <c r="M684" s="38"/>
      <c r="O684" s="27"/>
      <c r="P684" s="26"/>
      <c r="Q684" s="27"/>
      <c r="R684" s="28"/>
      <c r="S684" s="28"/>
      <c r="U684" s="45"/>
    </row>
    <row r="685" spans="1:21" x14ac:dyDescent="0.25">
      <c r="A685" s="228"/>
      <c r="G685" s="38"/>
      <c r="H685" s="38"/>
      <c r="I685" s="38"/>
      <c r="K685" s="52"/>
      <c r="L685" s="38"/>
      <c r="M685" s="38"/>
      <c r="O685" s="27"/>
      <c r="P685" s="26"/>
      <c r="Q685" s="27"/>
      <c r="R685" s="28"/>
      <c r="S685" s="28"/>
      <c r="U685" s="45"/>
    </row>
    <row r="686" spans="1:21" x14ac:dyDescent="0.25">
      <c r="A686" s="228"/>
      <c r="G686" s="38"/>
      <c r="H686" s="38"/>
      <c r="I686" s="38"/>
      <c r="K686" s="52"/>
      <c r="L686" s="38"/>
      <c r="M686" s="38"/>
      <c r="O686" s="27"/>
      <c r="P686" s="26"/>
      <c r="Q686" s="27"/>
      <c r="R686" s="28"/>
      <c r="S686" s="28"/>
      <c r="U686" s="45"/>
    </row>
    <row r="687" spans="1:21" x14ac:dyDescent="0.25">
      <c r="A687" s="228"/>
      <c r="G687" s="38"/>
      <c r="H687" s="38"/>
      <c r="I687" s="38"/>
      <c r="K687" s="52"/>
      <c r="L687" s="38"/>
      <c r="M687" s="38"/>
      <c r="O687" s="27"/>
      <c r="P687" s="26"/>
      <c r="Q687" s="27"/>
      <c r="R687" s="28"/>
      <c r="S687" s="28"/>
      <c r="U687" s="45"/>
    </row>
    <row r="688" spans="1:21" x14ac:dyDescent="0.25">
      <c r="A688" s="228"/>
      <c r="F688" s="4"/>
      <c r="G688" s="38"/>
      <c r="H688" s="38"/>
      <c r="I688" s="38"/>
      <c r="J688" s="5"/>
      <c r="K688" s="52"/>
      <c r="L688" s="38"/>
      <c r="M688" s="38"/>
      <c r="N688" s="5"/>
      <c r="O688" s="27"/>
      <c r="P688" s="26"/>
      <c r="Q688" s="27"/>
      <c r="R688" s="28"/>
      <c r="S688" s="28"/>
      <c r="U688" s="45"/>
    </row>
    <row r="689" spans="1:21" x14ac:dyDescent="0.25">
      <c r="A689" s="228"/>
      <c r="F689" s="4"/>
      <c r="G689" s="38"/>
      <c r="H689" s="38"/>
      <c r="I689" s="38"/>
      <c r="J689" s="5"/>
      <c r="K689" s="52"/>
      <c r="L689" s="38"/>
      <c r="M689" s="38"/>
      <c r="N689" s="5"/>
      <c r="O689" s="27"/>
      <c r="P689" s="26"/>
      <c r="Q689" s="27"/>
      <c r="R689" s="28"/>
      <c r="S689" s="28"/>
      <c r="U689" s="45"/>
    </row>
    <row r="690" spans="1:21" x14ac:dyDescent="0.25">
      <c r="A690" s="228"/>
      <c r="G690" s="38"/>
      <c r="H690" s="38"/>
      <c r="I690" s="38"/>
      <c r="K690" s="52"/>
      <c r="L690" s="38"/>
      <c r="M690" s="38"/>
      <c r="O690" s="27"/>
      <c r="P690" s="26"/>
      <c r="Q690" s="27"/>
      <c r="R690" s="28"/>
      <c r="S690" s="28"/>
      <c r="U690" s="45"/>
    </row>
    <row r="691" spans="1:21" x14ac:dyDescent="0.25">
      <c r="A691" s="228"/>
      <c r="F691" s="4"/>
      <c r="G691" s="38"/>
      <c r="H691" s="38"/>
      <c r="I691" s="38"/>
      <c r="J691" s="5"/>
      <c r="K691" s="52"/>
      <c r="L691" s="38"/>
      <c r="M691" s="38"/>
      <c r="N691" s="5"/>
      <c r="O691" s="27"/>
      <c r="P691" s="26"/>
      <c r="Q691" s="27"/>
      <c r="R691" s="28"/>
      <c r="S691" s="28"/>
      <c r="U691" s="45"/>
    </row>
    <row r="692" spans="1:21" x14ac:dyDescent="0.25">
      <c r="A692" s="228"/>
      <c r="F692" s="4"/>
      <c r="G692" s="38"/>
      <c r="H692" s="38"/>
      <c r="I692" s="38"/>
      <c r="J692" s="5"/>
      <c r="K692" s="52"/>
      <c r="L692" s="38"/>
      <c r="M692" s="38"/>
      <c r="N692" s="5"/>
      <c r="O692" s="27"/>
      <c r="P692" s="26"/>
      <c r="Q692" s="27"/>
      <c r="R692" s="28"/>
      <c r="S692" s="28"/>
      <c r="U692" s="45"/>
    </row>
    <row r="693" spans="1:21" x14ac:dyDescent="0.25">
      <c r="A693" s="228"/>
      <c r="B693" s="5"/>
      <c r="C693" s="4"/>
      <c r="D693" s="5"/>
      <c r="E693" s="4"/>
      <c r="F693" s="4"/>
      <c r="G693" s="32"/>
      <c r="H693" s="32"/>
      <c r="I693" s="32"/>
      <c r="J693" s="5"/>
      <c r="K693" s="51"/>
      <c r="L693" s="32"/>
      <c r="M693" s="32"/>
      <c r="N693" s="5"/>
      <c r="O693" s="33"/>
      <c r="P693" s="26"/>
      <c r="Q693" s="27"/>
      <c r="R693" s="28"/>
      <c r="S693" s="28"/>
      <c r="U693" s="45"/>
    </row>
    <row r="694" spans="1:21" x14ac:dyDescent="0.25">
      <c r="A694" s="228"/>
      <c r="B694" s="5"/>
      <c r="C694" s="4"/>
      <c r="D694" s="5"/>
      <c r="E694" s="4"/>
      <c r="F694" s="4"/>
      <c r="G694" s="32"/>
      <c r="H694" s="32"/>
      <c r="I694" s="32"/>
      <c r="J694" s="5"/>
      <c r="K694" s="51"/>
      <c r="L694" s="32"/>
      <c r="M694" s="32"/>
      <c r="N694" s="5"/>
      <c r="O694" s="33"/>
      <c r="P694" s="26"/>
      <c r="Q694" s="27"/>
      <c r="R694" s="28"/>
      <c r="S694" s="28"/>
      <c r="U694" s="45"/>
    </row>
    <row r="695" spans="1:21" x14ac:dyDescent="0.25">
      <c r="A695" s="228"/>
      <c r="G695" s="38"/>
      <c r="H695" s="38"/>
      <c r="I695" s="38"/>
      <c r="K695" s="52"/>
      <c r="L695" s="38"/>
      <c r="M695" s="38"/>
      <c r="O695" s="27"/>
      <c r="P695" s="26"/>
      <c r="Q695" s="27"/>
      <c r="R695" s="28"/>
      <c r="S695" s="28"/>
      <c r="U695" s="45"/>
    </row>
    <row r="696" spans="1:21" x14ac:dyDescent="0.25">
      <c r="A696" s="228"/>
      <c r="G696" s="38"/>
      <c r="H696" s="38"/>
      <c r="I696" s="38"/>
      <c r="K696" s="52"/>
      <c r="L696" s="38"/>
      <c r="M696" s="38"/>
      <c r="O696" s="27"/>
      <c r="P696" s="26"/>
      <c r="Q696" s="27"/>
      <c r="R696" s="28"/>
      <c r="S696" s="28"/>
      <c r="U696" s="45"/>
    </row>
    <row r="697" spans="1:21" x14ac:dyDescent="0.25">
      <c r="A697" s="228"/>
      <c r="B697" s="5"/>
      <c r="C697" s="4"/>
      <c r="D697" s="5"/>
      <c r="E697" s="4"/>
      <c r="F697" s="4"/>
      <c r="G697" s="32"/>
      <c r="H697" s="32"/>
      <c r="I697" s="32"/>
      <c r="J697" s="5"/>
      <c r="K697" s="51"/>
      <c r="L697" s="32"/>
      <c r="M697" s="32"/>
      <c r="N697" s="5"/>
      <c r="O697" s="33"/>
      <c r="P697" s="26"/>
      <c r="Q697" s="27"/>
      <c r="R697" s="28"/>
      <c r="S697" s="28"/>
      <c r="U697" s="45"/>
    </row>
    <row r="698" spans="1:21" x14ac:dyDescent="0.25">
      <c r="A698" s="228"/>
      <c r="B698" s="5"/>
      <c r="C698" s="4"/>
      <c r="D698" s="5"/>
      <c r="E698" s="4"/>
      <c r="F698" s="4"/>
      <c r="G698" s="32"/>
      <c r="H698" s="32"/>
      <c r="I698" s="32"/>
      <c r="J698" s="5"/>
      <c r="K698" s="51"/>
      <c r="L698" s="32"/>
      <c r="M698" s="32"/>
      <c r="N698" s="5"/>
      <c r="O698" s="33"/>
      <c r="P698" s="26"/>
      <c r="Q698" s="27"/>
      <c r="R698" s="28"/>
      <c r="S698" s="28"/>
      <c r="U698" s="45"/>
    </row>
    <row r="699" spans="1:21" x14ac:dyDescent="0.25">
      <c r="A699" s="228"/>
      <c r="B699" s="5"/>
      <c r="C699" s="4"/>
      <c r="D699" s="5"/>
      <c r="E699" s="4"/>
      <c r="F699" s="4"/>
      <c r="G699" s="32"/>
      <c r="H699" s="32"/>
      <c r="I699" s="32"/>
      <c r="J699" s="5"/>
      <c r="K699" s="51"/>
      <c r="L699" s="32"/>
      <c r="M699" s="32"/>
      <c r="N699" s="5"/>
      <c r="O699" s="33"/>
      <c r="P699" s="26"/>
      <c r="Q699" s="27"/>
      <c r="R699" s="28"/>
      <c r="S699" s="28"/>
      <c r="U699" s="45"/>
    </row>
    <row r="700" spans="1:21" x14ac:dyDescent="0.25">
      <c r="A700" s="228"/>
      <c r="B700" s="5"/>
      <c r="C700" s="4"/>
      <c r="D700" s="5"/>
      <c r="E700" s="4"/>
      <c r="F700" s="4"/>
      <c r="G700" s="32"/>
      <c r="H700" s="32"/>
      <c r="I700" s="32"/>
      <c r="J700" s="5"/>
      <c r="K700" s="51"/>
      <c r="L700" s="32"/>
      <c r="M700" s="32"/>
      <c r="N700" s="5"/>
      <c r="O700" s="33"/>
      <c r="P700" s="26"/>
      <c r="Q700" s="27"/>
      <c r="R700" s="28"/>
      <c r="S700" s="28"/>
      <c r="U700" s="45"/>
    </row>
    <row r="701" spans="1:21" x14ac:dyDescent="0.25">
      <c r="A701" s="228"/>
      <c r="B701" s="5"/>
      <c r="C701" s="4"/>
      <c r="D701" s="5"/>
      <c r="E701" s="4"/>
      <c r="F701" s="4"/>
      <c r="G701" s="32"/>
      <c r="H701" s="32"/>
      <c r="I701" s="32"/>
      <c r="J701" s="5"/>
      <c r="K701" s="51"/>
      <c r="L701" s="32"/>
      <c r="M701" s="32"/>
      <c r="N701" s="5"/>
      <c r="O701" s="33"/>
      <c r="P701" s="26"/>
      <c r="Q701" s="27"/>
      <c r="R701" s="28"/>
      <c r="S701" s="28"/>
      <c r="U701" s="45"/>
    </row>
    <row r="702" spans="1:21" x14ac:dyDescent="0.25">
      <c r="A702" s="228"/>
      <c r="B702" s="5"/>
      <c r="C702" s="4"/>
      <c r="D702" s="5"/>
      <c r="E702" s="4"/>
      <c r="F702" s="4"/>
      <c r="G702" s="32"/>
      <c r="H702" s="32"/>
      <c r="I702" s="32"/>
      <c r="J702" s="5"/>
      <c r="K702" s="51"/>
      <c r="L702" s="32"/>
      <c r="M702" s="32"/>
      <c r="N702" s="5"/>
      <c r="O702" s="33"/>
      <c r="P702" s="26"/>
      <c r="Q702" s="27"/>
      <c r="R702" s="28"/>
      <c r="S702" s="28"/>
      <c r="U702" s="45"/>
    </row>
    <row r="703" spans="1:21" x14ac:dyDescent="0.25">
      <c r="A703" s="228"/>
      <c r="G703" s="38"/>
      <c r="H703" s="38"/>
      <c r="I703" s="38"/>
      <c r="K703" s="52"/>
      <c r="L703" s="38"/>
      <c r="M703" s="38"/>
      <c r="O703" s="27"/>
      <c r="P703" s="26"/>
      <c r="Q703" s="27"/>
      <c r="R703" s="28"/>
      <c r="S703" s="28"/>
      <c r="U703" s="45"/>
    </row>
    <row r="704" spans="1:21" x14ac:dyDescent="0.25">
      <c r="A704" s="228"/>
      <c r="G704" s="38"/>
      <c r="H704" s="38"/>
      <c r="I704" s="38"/>
      <c r="K704" s="52"/>
      <c r="L704" s="38"/>
      <c r="M704" s="38"/>
      <c r="O704" s="27"/>
      <c r="P704" s="26"/>
      <c r="Q704" s="27"/>
      <c r="R704" s="28"/>
      <c r="S704" s="28"/>
      <c r="U704" s="45"/>
    </row>
    <row r="705" spans="1:21" x14ac:dyDescent="0.25">
      <c r="A705" s="228"/>
      <c r="G705" s="38"/>
      <c r="H705" s="38"/>
      <c r="I705" s="38"/>
      <c r="K705" s="52"/>
      <c r="L705" s="38"/>
      <c r="M705" s="38"/>
      <c r="O705" s="27"/>
      <c r="P705" s="26"/>
      <c r="Q705" s="27"/>
      <c r="R705" s="28"/>
      <c r="S705" s="28"/>
      <c r="U705" s="45"/>
    </row>
    <row r="706" spans="1:21" x14ac:dyDescent="0.25">
      <c r="A706" s="228"/>
      <c r="G706" s="38"/>
      <c r="H706" s="38"/>
      <c r="I706" s="38"/>
      <c r="K706" s="52"/>
      <c r="L706" s="38"/>
      <c r="M706" s="38"/>
      <c r="O706" s="27"/>
      <c r="P706" s="26"/>
      <c r="Q706" s="27"/>
      <c r="R706" s="28"/>
      <c r="S706" s="28"/>
      <c r="U706" s="45"/>
    </row>
    <row r="707" spans="1:21" x14ac:dyDescent="0.25">
      <c r="A707" s="228"/>
      <c r="B707" s="8"/>
      <c r="D707" s="8"/>
      <c r="J707" s="8"/>
      <c r="N707" s="8"/>
      <c r="Q707" s="8"/>
      <c r="R707" s="8"/>
    </row>
    <row r="708" spans="1:21" x14ac:dyDescent="0.25">
      <c r="A708" s="228"/>
      <c r="B708" s="8"/>
      <c r="D708" s="8"/>
      <c r="J708" s="8"/>
      <c r="N708" s="8"/>
      <c r="Q708" s="8"/>
      <c r="R708" s="8"/>
    </row>
    <row r="709" spans="1:21" x14ac:dyDescent="0.25">
      <c r="A709" s="228"/>
      <c r="B709" s="8"/>
      <c r="D709" s="8"/>
      <c r="J709" s="8"/>
      <c r="N709" s="8"/>
      <c r="Q709" s="8"/>
      <c r="R709" s="8"/>
    </row>
    <row r="710" spans="1:21" x14ac:dyDescent="0.25">
      <c r="A710" s="228"/>
      <c r="B710" s="8"/>
      <c r="D710" s="8"/>
      <c r="J710" s="8"/>
      <c r="N710" s="8"/>
      <c r="Q710" s="8"/>
      <c r="R710" s="8"/>
    </row>
    <row r="711" spans="1:21" x14ac:dyDescent="0.25">
      <c r="A711" s="228"/>
      <c r="B711" s="8"/>
      <c r="D711" s="8"/>
      <c r="J711" s="8"/>
      <c r="N711" s="8"/>
      <c r="Q711" s="8"/>
      <c r="R711" s="8"/>
    </row>
    <row r="712" spans="1:21" x14ac:dyDescent="0.25">
      <c r="A712" s="228"/>
      <c r="B712" s="8"/>
      <c r="D712" s="8"/>
      <c r="J712" s="8"/>
      <c r="N712" s="8"/>
      <c r="Q712" s="8"/>
      <c r="R712" s="8"/>
    </row>
    <row r="713" spans="1:21" x14ac:dyDescent="0.25">
      <c r="A713" s="228"/>
      <c r="B713" s="4"/>
      <c r="C713" s="4"/>
      <c r="D713" s="8"/>
      <c r="J713" s="4"/>
      <c r="N713" s="4"/>
      <c r="Q713" s="8"/>
      <c r="R713" s="8"/>
    </row>
    <row r="714" spans="1:21" x14ac:dyDescent="0.25">
      <c r="A714" s="228"/>
      <c r="B714" s="8"/>
      <c r="D714" s="8"/>
      <c r="J714" s="8"/>
      <c r="N714" s="8"/>
      <c r="Q714" s="8"/>
      <c r="R714" s="8"/>
    </row>
    <row r="715" spans="1:21" x14ac:dyDescent="0.25">
      <c r="A715" s="228"/>
      <c r="B715" s="8"/>
      <c r="D715" s="8"/>
      <c r="J715" s="8"/>
      <c r="N715" s="8"/>
      <c r="Q715" s="8"/>
      <c r="R715" s="8"/>
    </row>
    <row r="716" spans="1:21" x14ac:dyDescent="0.25">
      <c r="A716" s="228"/>
      <c r="B716" s="8"/>
      <c r="D716" s="8"/>
      <c r="J716" s="8"/>
      <c r="N716" s="8"/>
      <c r="Q716" s="8"/>
      <c r="R716" s="8"/>
    </row>
    <row r="717" spans="1:21" x14ac:dyDescent="0.25">
      <c r="A717" s="228"/>
      <c r="B717" s="8"/>
      <c r="D717" s="8"/>
      <c r="J717" s="8"/>
      <c r="N717" s="8"/>
      <c r="Q717" s="8"/>
      <c r="R717" s="8"/>
    </row>
    <row r="718" spans="1:21" x14ac:dyDescent="0.25">
      <c r="A718" s="228"/>
      <c r="B718" s="8"/>
      <c r="D718" s="8"/>
      <c r="J718" s="8"/>
      <c r="N718" s="8"/>
      <c r="Q718" s="8"/>
      <c r="R718" s="8"/>
    </row>
    <row r="719" spans="1:21" x14ac:dyDescent="0.25">
      <c r="A719" s="228"/>
      <c r="B719" s="8"/>
      <c r="D719" s="8"/>
      <c r="J719" s="8"/>
      <c r="N719" s="8"/>
      <c r="Q719" s="8"/>
      <c r="R719" s="8"/>
    </row>
    <row r="720" spans="1:21" x14ac:dyDescent="0.25">
      <c r="A720" s="228"/>
      <c r="C720" s="4"/>
      <c r="G720" s="38"/>
      <c r="H720" s="38"/>
      <c r="I720" s="38"/>
      <c r="J720" s="5"/>
      <c r="K720" s="52"/>
      <c r="L720" s="38"/>
      <c r="M720" s="38"/>
      <c r="N720" s="5"/>
      <c r="O720" s="27"/>
      <c r="P720" s="26"/>
      <c r="Q720" s="27"/>
      <c r="R720" s="28"/>
      <c r="S720" s="28"/>
      <c r="U720" s="45"/>
    </row>
    <row r="721" spans="1:21" x14ac:dyDescent="0.25">
      <c r="A721" s="228"/>
      <c r="G721" s="38"/>
      <c r="H721" s="38"/>
      <c r="I721" s="38"/>
      <c r="K721" s="52"/>
      <c r="L721" s="38"/>
      <c r="M721" s="38"/>
      <c r="O721" s="27"/>
      <c r="P721" s="26"/>
      <c r="Q721" s="27"/>
      <c r="R721" s="28"/>
      <c r="S721" s="28"/>
      <c r="U721" s="45"/>
    </row>
    <row r="722" spans="1:21" x14ac:dyDescent="0.25">
      <c r="A722" s="228"/>
      <c r="C722" s="49"/>
      <c r="G722" s="38"/>
      <c r="H722" s="38"/>
      <c r="I722" s="38"/>
      <c r="K722" s="52"/>
      <c r="L722" s="38"/>
      <c r="M722" s="38"/>
      <c r="O722" s="27"/>
      <c r="P722" s="26"/>
      <c r="Q722" s="27"/>
      <c r="R722" s="28"/>
      <c r="S722" s="28"/>
      <c r="U722" s="45"/>
    </row>
    <row r="723" spans="1:21" x14ac:dyDescent="0.25">
      <c r="A723" s="228"/>
      <c r="B723" s="5"/>
      <c r="C723" s="4"/>
      <c r="D723" s="5"/>
      <c r="E723" s="4"/>
      <c r="F723" s="4"/>
      <c r="G723" s="32"/>
      <c r="H723" s="32"/>
      <c r="I723" s="32"/>
      <c r="J723" s="5"/>
      <c r="K723" s="51"/>
      <c r="L723" s="32"/>
      <c r="M723" s="32"/>
      <c r="N723" s="5"/>
      <c r="O723" s="33"/>
      <c r="P723" s="26"/>
      <c r="Q723" s="27"/>
      <c r="R723" s="28"/>
      <c r="S723" s="28"/>
      <c r="U723" s="45"/>
    </row>
    <row r="724" spans="1:21" x14ac:dyDescent="0.25">
      <c r="A724" s="228"/>
      <c r="G724" s="38"/>
      <c r="H724" s="38"/>
      <c r="I724" s="38"/>
      <c r="K724" s="52"/>
      <c r="L724" s="38"/>
      <c r="M724" s="38"/>
      <c r="O724" s="27"/>
      <c r="P724" s="26"/>
      <c r="Q724" s="27"/>
      <c r="R724" s="28"/>
      <c r="S724" s="28"/>
      <c r="U724" s="45"/>
    </row>
    <row r="725" spans="1:21" x14ac:dyDescent="0.25">
      <c r="A725" s="228"/>
      <c r="G725" s="38"/>
      <c r="H725" s="38"/>
      <c r="I725" s="38"/>
      <c r="K725" s="52"/>
      <c r="L725" s="38"/>
      <c r="M725" s="38"/>
      <c r="O725" s="27"/>
      <c r="P725" s="26"/>
      <c r="Q725" s="27"/>
      <c r="R725" s="28"/>
      <c r="S725" s="28"/>
      <c r="U725" s="45"/>
    </row>
    <row r="726" spans="1:21" x14ac:dyDescent="0.25">
      <c r="A726" s="228"/>
      <c r="G726" s="38"/>
      <c r="H726" s="38"/>
      <c r="I726" s="38"/>
      <c r="K726" s="52"/>
      <c r="L726" s="38"/>
      <c r="M726" s="38"/>
      <c r="O726" s="27"/>
      <c r="P726" s="26"/>
      <c r="Q726" s="27"/>
      <c r="R726" s="28"/>
      <c r="S726" s="28"/>
      <c r="U726" s="45"/>
    </row>
    <row r="727" spans="1:21" x14ac:dyDescent="0.25">
      <c r="A727" s="228"/>
      <c r="G727" s="38"/>
      <c r="H727" s="38"/>
      <c r="I727" s="38"/>
      <c r="K727" s="52"/>
      <c r="L727" s="38"/>
      <c r="M727" s="38"/>
      <c r="O727" s="27"/>
      <c r="P727" s="26"/>
      <c r="Q727" s="27"/>
      <c r="R727" s="28"/>
      <c r="S727" s="28"/>
      <c r="U727" s="45"/>
    </row>
    <row r="728" spans="1:21" x14ac:dyDescent="0.25">
      <c r="A728" s="228"/>
      <c r="G728" s="38"/>
      <c r="H728" s="38"/>
      <c r="I728" s="38"/>
      <c r="K728" s="52"/>
      <c r="L728" s="38"/>
      <c r="M728" s="38"/>
      <c r="O728" s="27"/>
      <c r="P728" s="26"/>
      <c r="Q728" s="27"/>
      <c r="R728" s="28"/>
      <c r="S728" s="28"/>
      <c r="U728" s="45"/>
    </row>
    <row r="729" spans="1:21" x14ac:dyDescent="0.25">
      <c r="A729" s="228"/>
      <c r="B729" s="5"/>
      <c r="C729" s="4"/>
      <c r="D729" s="5"/>
      <c r="E729" s="4"/>
      <c r="F729" s="4"/>
      <c r="G729" s="32"/>
      <c r="H729" s="32"/>
      <c r="I729" s="32"/>
      <c r="J729" s="5"/>
      <c r="K729" s="51"/>
      <c r="L729" s="32"/>
      <c r="M729" s="32"/>
      <c r="N729" s="5"/>
      <c r="O729" s="33"/>
      <c r="P729" s="26"/>
      <c r="Q729" s="27"/>
      <c r="R729" s="28"/>
      <c r="S729" s="28"/>
      <c r="U729" s="45"/>
    </row>
    <row r="730" spans="1:21" x14ac:dyDescent="0.25">
      <c r="A730" s="228"/>
      <c r="B730" s="5"/>
      <c r="C730" s="4"/>
      <c r="D730" s="5"/>
      <c r="E730" s="4"/>
      <c r="F730" s="4"/>
      <c r="G730" s="32"/>
      <c r="H730" s="32"/>
      <c r="I730" s="32"/>
      <c r="J730" s="5"/>
      <c r="K730" s="51"/>
      <c r="L730" s="32"/>
      <c r="M730" s="32"/>
      <c r="N730" s="5"/>
      <c r="O730" s="33"/>
      <c r="P730" s="26"/>
      <c r="Q730" s="27"/>
      <c r="R730" s="28"/>
      <c r="S730" s="28"/>
      <c r="U730" s="45"/>
    </row>
    <row r="731" spans="1:21" x14ac:dyDescent="0.25">
      <c r="A731" s="228"/>
      <c r="B731" s="5"/>
      <c r="C731" s="4"/>
      <c r="D731" s="5"/>
      <c r="E731" s="4"/>
      <c r="F731" s="4"/>
      <c r="G731" s="32"/>
      <c r="H731" s="32"/>
      <c r="I731" s="32"/>
      <c r="J731" s="5"/>
      <c r="K731" s="51"/>
      <c r="L731" s="32"/>
      <c r="M731" s="32"/>
      <c r="N731" s="5"/>
      <c r="O731" s="33"/>
      <c r="P731" s="26"/>
      <c r="Q731" s="27"/>
      <c r="R731" s="28"/>
      <c r="S731" s="28"/>
      <c r="U731" s="45"/>
    </row>
    <row r="732" spans="1:21" x14ac:dyDescent="0.25">
      <c r="A732" s="228"/>
      <c r="B732" s="5"/>
      <c r="C732" s="4"/>
      <c r="D732" s="5"/>
      <c r="E732" s="4"/>
      <c r="F732" s="4"/>
      <c r="G732" s="32"/>
      <c r="H732" s="32"/>
      <c r="I732" s="32"/>
      <c r="J732" s="5"/>
      <c r="K732" s="51"/>
      <c r="L732" s="32"/>
      <c r="M732" s="32"/>
      <c r="N732" s="5"/>
      <c r="O732" s="33"/>
      <c r="P732" s="26"/>
      <c r="Q732" s="27"/>
      <c r="R732" s="28"/>
      <c r="S732" s="28"/>
      <c r="U732" s="45"/>
    </row>
    <row r="733" spans="1:21" x14ac:dyDescent="0.25">
      <c r="A733" s="228"/>
      <c r="G733" s="38"/>
      <c r="H733" s="38"/>
      <c r="I733" s="38"/>
      <c r="K733" s="52"/>
      <c r="L733" s="38"/>
      <c r="M733" s="38"/>
      <c r="O733" s="27"/>
      <c r="P733" s="26"/>
      <c r="Q733" s="27"/>
      <c r="R733" s="28"/>
      <c r="S733" s="28"/>
      <c r="U733" s="45"/>
    </row>
    <row r="734" spans="1:21" x14ac:dyDescent="0.25">
      <c r="A734" s="228"/>
      <c r="B734" s="5"/>
      <c r="C734" s="4"/>
      <c r="D734" s="5"/>
      <c r="E734" s="4"/>
      <c r="F734" s="4"/>
      <c r="G734" s="32"/>
      <c r="H734" s="32"/>
      <c r="I734" s="32"/>
      <c r="J734" s="5"/>
      <c r="K734" s="51"/>
      <c r="L734" s="32"/>
      <c r="M734" s="32"/>
      <c r="N734" s="5"/>
      <c r="O734" s="33"/>
      <c r="P734" s="26"/>
      <c r="Q734" s="27"/>
      <c r="R734" s="28"/>
      <c r="S734" s="28"/>
      <c r="U734" s="45"/>
    </row>
    <row r="735" spans="1:21" x14ac:dyDescent="0.25">
      <c r="A735" s="228"/>
      <c r="B735" s="5"/>
      <c r="C735" s="4"/>
      <c r="D735" s="5"/>
      <c r="E735" s="4"/>
      <c r="F735" s="4"/>
      <c r="G735" s="32"/>
      <c r="H735" s="32"/>
      <c r="I735" s="32"/>
      <c r="J735" s="5"/>
      <c r="K735" s="51"/>
      <c r="L735" s="32"/>
      <c r="M735" s="32"/>
      <c r="N735" s="5"/>
      <c r="O735" s="33"/>
      <c r="P735" s="26"/>
      <c r="Q735" s="27"/>
      <c r="R735" s="28"/>
      <c r="S735" s="28"/>
      <c r="U735" s="45"/>
    </row>
    <row r="736" spans="1:21" x14ac:dyDescent="0.25">
      <c r="A736" s="228"/>
      <c r="B736" s="5"/>
      <c r="C736" s="4"/>
      <c r="D736" s="5"/>
      <c r="E736" s="4"/>
      <c r="F736" s="4"/>
      <c r="G736" s="32"/>
      <c r="H736" s="32"/>
      <c r="I736" s="32"/>
      <c r="J736" s="5"/>
      <c r="K736" s="51"/>
      <c r="L736" s="32"/>
      <c r="M736" s="32"/>
      <c r="N736" s="5"/>
      <c r="O736" s="33"/>
      <c r="P736" s="26"/>
      <c r="Q736" s="27"/>
      <c r="R736" s="28"/>
      <c r="S736" s="28"/>
      <c r="U736" s="45"/>
    </row>
    <row r="737" spans="1:21" x14ac:dyDescent="0.25">
      <c r="A737" s="228"/>
      <c r="B737" s="5"/>
      <c r="C737" s="4"/>
      <c r="D737" s="5"/>
      <c r="E737" s="4"/>
      <c r="F737" s="4"/>
      <c r="G737" s="32"/>
      <c r="H737" s="32"/>
      <c r="I737" s="32"/>
      <c r="J737" s="5"/>
      <c r="K737" s="51"/>
      <c r="L737" s="32"/>
      <c r="M737" s="32"/>
      <c r="N737" s="5"/>
      <c r="O737" s="33"/>
      <c r="P737" s="26"/>
      <c r="Q737" s="27"/>
      <c r="R737" s="28"/>
      <c r="S737" s="28"/>
      <c r="U737" s="45"/>
    </row>
    <row r="738" spans="1:21" x14ac:dyDescent="0.25">
      <c r="A738" s="228"/>
      <c r="B738" s="5"/>
      <c r="C738" s="4"/>
      <c r="D738" s="5"/>
      <c r="E738" s="4"/>
      <c r="F738" s="4"/>
      <c r="G738" s="32"/>
      <c r="H738" s="32"/>
      <c r="I738" s="32"/>
      <c r="J738" s="5"/>
      <c r="K738" s="51"/>
      <c r="L738" s="32"/>
      <c r="M738" s="32"/>
      <c r="N738" s="5"/>
      <c r="O738" s="33"/>
      <c r="P738" s="26"/>
      <c r="Q738" s="27"/>
      <c r="R738" s="28"/>
      <c r="S738" s="28"/>
      <c r="U738" s="45"/>
    </row>
    <row r="739" spans="1:21" x14ac:dyDescent="0.25">
      <c r="A739" s="228"/>
      <c r="B739" s="5"/>
      <c r="C739" s="4"/>
      <c r="D739" s="5"/>
      <c r="E739" s="4"/>
      <c r="F739" s="4"/>
      <c r="G739" s="32"/>
      <c r="H739" s="32"/>
      <c r="I739" s="32"/>
      <c r="J739" s="5"/>
      <c r="K739" s="51"/>
      <c r="L739" s="32"/>
      <c r="M739" s="32"/>
      <c r="N739" s="5"/>
      <c r="O739" s="33"/>
      <c r="P739" s="26"/>
      <c r="Q739" s="27"/>
      <c r="R739" s="28"/>
      <c r="S739" s="28"/>
      <c r="U739" s="45"/>
    </row>
    <row r="740" spans="1:21" x14ac:dyDescent="0.25">
      <c r="A740" s="228"/>
      <c r="B740" s="5"/>
      <c r="C740" s="4"/>
      <c r="D740" s="5"/>
      <c r="E740" s="4"/>
      <c r="F740" s="4"/>
      <c r="G740" s="32"/>
      <c r="H740" s="32"/>
      <c r="I740" s="32"/>
      <c r="J740" s="5"/>
      <c r="K740" s="51"/>
      <c r="L740" s="32"/>
      <c r="M740" s="32"/>
      <c r="N740" s="5"/>
      <c r="O740" s="33"/>
      <c r="P740" s="26"/>
      <c r="Q740" s="27"/>
      <c r="R740" s="28"/>
      <c r="S740" s="28"/>
      <c r="U740" s="45"/>
    </row>
    <row r="741" spans="1:21" x14ac:dyDescent="0.25">
      <c r="A741" s="228"/>
      <c r="B741" s="5"/>
      <c r="C741" s="4"/>
      <c r="D741" s="5"/>
      <c r="E741" s="4"/>
      <c r="F741" s="4"/>
      <c r="G741" s="32"/>
      <c r="H741" s="32"/>
      <c r="I741" s="32"/>
      <c r="J741" s="5"/>
      <c r="K741" s="51"/>
      <c r="L741" s="32"/>
      <c r="M741" s="32"/>
      <c r="N741" s="5"/>
      <c r="O741" s="33"/>
      <c r="P741" s="26"/>
      <c r="Q741" s="27"/>
      <c r="R741" s="28"/>
      <c r="S741" s="28"/>
      <c r="U741" s="45"/>
    </row>
    <row r="742" spans="1:21" x14ac:dyDescent="0.25">
      <c r="A742" s="228"/>
      <c r="B742" s="5"/>
      <c r="C742" s="4"/>
      <c r="D742" s="5"/>
      <c r="E742" s="4"/>
      <c r="F742" s="4"/>
      <c r="G742" s="32"/>
      <c r="H742" s="32"/>
      <c r="I742" s="32"/>
      <c r="J742" s="5"/>
      <c r="K742" s="51"/>
      <c r="L742" s="32"/>
      <c r="M742" s="32"/>
      <c r="N742" s="5"/>
      <c r="O742" s="33"/>
      <c r="P742" s="26"/>
      <c r="Q742" s="27"/>
      <c r="R742" s="28"/>
      <c r="S742" s="28"/>
      <c r="U742" s="45"/>
    </row>
    <row r="743" spans="1:21" x14ac:dyDescent="0.25">
      <c r="A743" s="228"/>
      <c r="B743" s="5"/>
      <c r="C743" s="4"/>
      <c r="D743" s="5"/>
      <c r="E743" s="4"/>
      <c r="F743" s="4"/>
      <c r="G743" s="32"/>
      <c r="H743" s="32"/>
      <c r="I743" s="32"/>
      <c r="J743" s="5"/>
      <c r="K743" s="51"/>
      <c r="L743" s="32"/>
      <c r="M743" s="32"/>
      <c r="N743" s="5"/>
      <c r="O743" s="33"/>
      <c r="P743" s="26"/>
      <c r="Q743" s="27"/>
      <c r="R743" s="28"/>
      <c r="S743" s="28"/>
      <c r="U743" s="45"/>
    </row>
    <row r="744" spans="1:21" x14ac:dyDescent="0.25">
      <c r="A744" s="228"/>
      <c r="B744" s="8"/>
      <c r="D744" s="8"/>
      <c r="J744" s="8"/>
      <c r="N744" s="8"/>
      <c r="Q744" s="8"/>
      <c r="R744" s="8"/>
    </row>
    <row r="745" spans="1:21" x14ac:dyDescent="0.25">
      <c r="A745" s="228"/>
      <c r="B745" s="8"/>
      <c r="D745" s="8"/>
      <c r="J745" s="8"/>
      <c r="N745" s="8"/>
      <c r="Q745" s="8"/>
      <c r="R745" s="8"/>
    </row>
    <row r="746" spans="1:21" x14ac:dyDescent="0.25">
      <c r="A746" s="228"/>
      <c r="B746" s="8"/>
      <c r="C746" s="29"/>
      <c r="D746" s="8"/>
      <c r="J746" s="8"/>
      <c r="N746" s="8"/>
      <c r="Q746" s="8"/>
      <c r="R746" s="8"/>
    </row>
    <row r="747" spans="1:21" x14ac:dyDescent="0.25">
      <c r="A747" s="228"/>
      <c r="B747" s="8"/>
      <c r="D747" s="8"/>
      <c r="J747" s="8"/>
      <c r="N747" s="8"/>
      <c r="Q747" s="8"/>
      <c r="R747" s="8"/>
    </row>
    <row r="748" spans="1:21" x14ac:dyDescent="0.25">
      <c r="A748" s="228"/>
      <c r="B748" s="8"/>
      <c r="D748" s="8"/>
      <c r="J748" s="8"/>
      <c r="N748" s="8"/>
      <c r="Q748" s="8"/>
      <c r="R748" s="8"/>
    </row>
    <row r="749" spans="1:21" x14ac:dyDescent="0.25">
      <c r="A749" s="228"/>
      <c r="B749" s="8"/>
      <c r="D749" s="8"/>
      <c r="J749" s="8"/>
      <c r="N749" s="8"/>
      <c r="Q749" s="8"/>
      <c r="R749" s="8"/>
    </row>
    <row r="750" spans="1:21" x14ac:dyDescent="0.25">
      <c r="A750" s="228"/>
      <c r="B750" s="8"/>
      <c r="D750" s="8"/>
      <c r="J750" s="8"/>
      <c r="N750" s="8"/>
      <c r="Q750" s="8"/>
      <c r="R750" s="8"/>
    </row>
    <row r="751" spans="1:21" x14ac:dyDescent="0.25">
      <c r="A751" s="228"/>
      <c r="B751" s="8"/>
      <c r="D751" s="8"/>
      <c r="J751" s="8"/>
      <c r="N751" s="8"/>
      <c r="Q751" s="8"/>
      <c r="R751" s="8"/>
    </row>
    <row r="752" spans="1:21" x14ac:dyDescent="0.25">
      <c r="A752" s="228"/>
      <c r="B752" s="8"/>
      <c r="D752" s="8"/>
      <c r="J752" s="8"/>
      <c r="N752" s="8"/>
      <c r="Q752" s="8"/>
      <c r="R752" s="8"/>
    </row>
    <row r="753" spans="1:18" x14ac:dyDescent="0.25">
      <c r="A753" s="228"/>
      <c r="B753" s="8"/>
      <c r="D753" s="8"/>
      <c r="J753" s="8"/>
      <c r="N753" s="8"/>
      <c r="Q753" s="8"/>
      <c r="R753" s="8"/>
    </row>
    <row r="754" spans="1:18" x14ac:dyDescent="0.25">
      <c r="A754" s="228"/>
      <c r="B754" s="8"/>
      <c r="D754" s="8"/>
      <c r="J754" s="8"/>
      <c r="N754" s="8"/>
      <c r="Q754" s="8"/>
      <c r="R754" s="8"/>
    </row>
    <row r="755" spans="1:18" x14ac:dyDescent="0.25">
      <c r="A755" s="228"/>
      <c r="B755" s="8"/>
      <c r="D755" s="8"/>
      <c r="J755" s="8"/>
      <c r="N755" s="8"/>
      <c r="Q755" s="8"/>
      <c r="R755" s="8"/>
    </row>
    <row r="756" spans="1:18" x14ac:dyDescent="0.25">
      <c r="A756" s="228"/>
      <c r="B756" s="8"/>
      <c r="D756" s="8"/>
      <c r="J756" s="8"/>
      <c r="N756" s="8"/>
      <c r="Q756" s="8"/>
      <c r="R756" s="8"/>
    </row>
    <row r="757" spans="1:18" x14ac:dyDescent="0.25">
      <c r="A757" s="228"/>
      <c r="B757" s="8"/>
      <c r="D757" s="8"/>
      <c r="J757" s="8"/>
      <c r="N757" s="8"/>
      <c r="Q757" s="8"/>
      <c r="R757" s="8"/>
    </row>
    <row r="758" spans="1:18" x14ac:dyDescent="0.25">
      <c r="A758" s="228"/>
      <c r="B758" s="8"/>
      <c r="D758" s="8"/>
      <c r="J758" s="8"/>
      <c r="N758" s="8"/>
      <c r="Q758" s="8"/>
      <c r="R758" s="8"/>
    </row>
    <row r="759" spans="1:18" x14ac:dyDescent="0.25">
      <c r="A759" s="228"/>
      <c r="B759" s="8"/>
      <c r="D759" s="8"/>
      <c r="J759" s="8"/>
      <c r="N759" s="8"/>
      <c r="Q759" s="8"/>
      <c r="R759" s="8"/>
    </row>
    <row r="760" spans="1:18" x14ac:dyDescent="0.25">
      <c r="A760" s="228"/>
      <c r="B760" s="8"/>
      <c r="D760" s="8"/>
      <c r="J760" s="8"/>
      <c r="N760" s="8"/>
      <c r="Q760" s="8"/>
      <c r="R760" s="8"/>
    </row>
    <row r="761" spans="1:18" x14ac:dyDescent="0.25">
      <c r="A761" s="228"/>
      <c r="B761" s="8"/>
      <c r="D761" s="8"/>
      <c r="J761" s="8"/>
      <c r="N761" s="8"/>
      <c r="Q761" s="8"/>
      <c r="R761" s="8"/>
    </row>
    <row r="762" spans="1:18" x14ac:dyDescent="0.25">
      <c r="A762" s="228"/>
      <c r="B762" s="8"/>
      <c r="D762" s="8"/>
      <c r="J762" s="8"/>
      <c r="N762" s="8"/>
      <c r="Q762" s="8"/>
      <c r="R762" s="8"/>
    </row>
    <row r="763" spans="1:18" x14ac:dyDescent="0.25">
      <c r="A763" s="228"/>
      <c r="B763" s="8"/>
      <c r="D763" s="8"/>
      <c r="J763" s="8"/>
      <c r="N763" s="8"/>
      <c r="Q763" s="8"/>
      <c r="R763" s="8"/>
    </row>
    <row r="764" spans="1:18" x14ac:dyDescent="0.25">
      <c r="A764" s="228"/>
      <c r="B764" s="8"/>
      <c r="D764" s="8"/>
      <c r="J764" s="8"/>
      <c r="N764" s="8"/>
      <c r="Q764" s="8"/>
      <c r="R764" s="8"/>
    </row>
    <row r="765" spans="1:18" x14ac:dyDescent="0.25">
      <c r="A765" s="228"/>
      <c r="B765" s="8"/>
      <c r="D765" s="8"/>
      <c r="J765" s="8"/>
      <c r="N765" s="8"/>
      <c r="Q765" s="8"/>
      <c r="R765" s="8"/>
    </row>
    <row r="766" spans="1:18" x14ac:dyDescent="0.25">
      <c r="A766" s="228"/>
      <c r="B766" s="8"/>
      <c r="D766" s="8"/>
      <c r="J766" s="8"/>
      <c r="N766" s="8"/>
      <c r="Q766" s="8"/>
      <c r="R766" s="8"/>
    </row>
    <row r="767" spans="1:18" x14ac:dyDescent="0.25">
      <c r="A767" s="228"/>
      <c r="B767" s="8"/>
      <c r="D767" s="8"/>
      <c r="J767" s="8"/>
      <c r="N767" s="8"/>
      <c r="Q767" s="8"/>
      <c r="R767" s="8"/>
    </row>
    <row r="768" spans="1:18" x14ac:dyDescent="0.25">
      <c r="A768" s="228"/>
      <c r="B768" s="8"/>
      <c r="D768" s="8"/>
      <c r="J768" s="8"/>
      <c r="N768" s="8"/>
      <c r="Q768" s="8"/>
      <c r="R768" s="8"/>
    </row>
    <row r="769" spans="1:18" x14ac:dyDescent="0.25">
      <c r="A769" s="228"/>
      <c r="B769" s="8"/>
      <c r="D769" s="8"/>
      <c r="J769" s="8"/>
      <c r="N769" s="8"/>
      <c r="Q769" s="8"/>
      <c r="R769" s="8"/>
    </row>
    <row r="770" spans="1:18" x14ac:dyDescent="0.25">
      <c r="A770" s="228"/>
      <c r="B770" s="8"/>
      <c r="D770" s="8"/>
      <c r="J770" s="8"/>
      <c r="N770" s="8"/>
      <c r="Q770" s="8"/>
      <c r="R770" s="8"/>
    </row>
    <row r="771" spans="1:18" x14ac:dyDescent="0.25">
      <c r="A771" s="228"/>
      <c r="B771" s="8"/>
      <c r="D771" s="8"/>
      <c r="J771" s="8"/>
      <c r="N771" s="8"/>
      <c r="Q771" s="8"/>
      <c r="R771" s="8"/>
    </row>
    <row r="772" spans="1:18" x14ac:dyDescent="0.25">
      <c r="A772" s="228"/>
      <c r="B772" s="8"/>
      <c r="D772" s="8"/>
      <c r="J772" s="8"/>
      <c r="N772" s="8"/>
      <c r="Q772" s="8"/>
      <c r="R772" s="8"/>
    </row>
    <row r="773" spans="1:18" x14ac:dyDescent="0.25">
      <c r="A773" s="228"/>
      <c r="B773" s="8"/>
      <c r="D773" s="8"/>
      <c r="J773" s="8"/>
      <c r="N773" s="8"/>
      <c r="Q773" s="8"/>
      <c r="R773" s="8"/>
    </row>
    <row r="774" spans="1:18" x14ac:dyDescent="0.25">
      <c r="A774" s="228"/>
      <c r="B774" s="8"/>
      <c r="D774" s="8"/>
      <c r="J774" s="8"/>
      <c r="N774" s="8"/>
      <c r="Q774" s="8"/>
      <c r="R774" s="8"/>
    </row>
    <row r="775" spans="1:18" x14ac:dyDescent="0.25">
      <c r="A775" s="228"/>
      <c r="B775" s="8"/>
      <c r="D775" s="8"/>
      <c r="J775" s="8"/>
      <c r="N775" s="8"/>
      <c r="Q775" s="8"/>
      <c r="R775" s="8"/>
    </row>
    <row r="776" spans="1:18" x14ac:dyDescent="0.25">
      <c r="A776" s="228"/>
      <c r="B776" s="8"/>
      <c r="D776" s="8"/>
      <c r="J776" s="8"/>
      <c r="N776" s="8"/>
      <c r="Q776" s="8"/>
      <c r="R776" s="8"/>
    </row>
    <row r="777" spans="1:18" x14ac:dyDescent="0.25">
      <c r="A777" s="228"/>
      <c r="B777" s="8"/>
      <c r="D777" s="8"/>
      <c r="J777" s="8"/>
      <c r="N777" s="8"/>
      <c r="Q777" s="8"/>
      <c r="R777" s="8"/>
    </row>
    <row r="778" spans="1:18" x14ac:dyDescent="0.25">
      <c r="A778" s="228"/>
      <c r="B778" s="8"/>
      <c r="D778" s="8"/>
      <c r="J778" s="8"/>
      <c r="N778" s="8"/>
      <c r="Q778" s="8"/>
      <c r="R778" s="8"/>
    </row>
    <row r="779" spans="1:18" x14ac:dyDescent="0.25">
      <c r="A779" s="228"/>
      <c r="B779" s="8"/>
      <c r="D779" s="8"/>
      <c r="J779" s="8"/>
      <c r="N779" s="8"/>
      <c r="Q779" s="8"/>
      <c r="R779" s="8"/>
    </row>
    <row r="780" spans="1:18" x14ac:dyDescent="0.25">
      <c r="A780" s="228"/>
      <c r="B780" s="8"/>
      <c r="D780" s="8"/>
      <c r="J780" s="8"/>
      <c r="N780" s="8"/>
      <c r="Q780" s="8"/>
      <c r="R780" s="8"/>
    </row>
    <row r="781" spans="1:18" x14ac:dyDescent="0.25">
      <c r="A781" s="228"/>
      <c r="B781" s="8"/>
      <c r="D781" s="8"/>
      <c r="J781" s="8"/>
      <c r="N781" s="8"/>
      <c r="Q781" s="8"/>
      <c r="R781" s="8"/>
    </row>
    <row r="782" spans="1:18" x14ac:dyDescent="0.25">
      <c r="A782" s="228"/>
      <c r="B782" s="8"/>
      <c r="D782" s="8"/>
      <c r="J782" s="8"/>
      <c r="N782" s="8"/>
      <c r="Q782" s="8"/>
      <c r="R782" s="8"/>
    </row>
    <row r="783" spans="1:18" x14ac:dyDescent="0.25">
      <c r="A783" s="228"/>
      <c r="B783" s="8"/>
      <c r="D783" s="8"/>
      <c r="J783" s="8"/>
      <c r="N783" s="8"/>
      <c r="Q783" s="8"/>
      <c r="R783" s="8"/>
    </row>
    <row r="784" spans="1:18" x14ac:dyDescent="0.25">
      <c r="A784" s="228"/>
      <c r="B784" s="8"/>
      <c r="D784" s="8"/>
      <c r="J784" s="8"/>
      <c r="N784" s="8"/>
      <c r="Q784" s="8"/>
      <c r="R784" s="8"/>
    </row>
    <row r="785" spans="1:18" x14ac:dyDescent="0.25">
      <c r="A785" s="228"/>
      <c r="B785" s="8"/>
      <c r="D785" s="8"/>
      <c r="J785" s="8"/>
      <c r="N785" s="8"/>
      <c r="Q785" s="8"/>
      <c r="R785" s="8"/>
    </row>
    <row r="786" spans="1:18" x14ac:dyDescent="0.25">
      <c r="A786" s="228"/>
      <c r="B786" s="8"/>
      <c r="D786" s="8"/>
      <c r="J786" s="8"/>
      <c r="N786" s="8"/>
      <c r="Q786" s="8"/>
      <c r="R786" s="8"/>
    </row>
    <row r="787" spans="1:18" x14ac:dyDescent="0.25">
      <c r="A787" s="228"/>
      <c r="B787" s="8"/>
      <c r="D787" s="8"/>
      <c r="J787" s="8"/>
      <c r="N787" s="8"/>
      <c r="Q787" s="8"/>
      <c r="R787" s="8"/>
    </row>
    <row r="788" spans="1:18" x14ac:dyDescent="0.25">
      <c r="A788" s="228"/>
    </row>
    <row r="789" spans="1:18" x14ac:dyDescent="0.25">
      <c r="A789" s="228"/>
    </row>
    <row r="790" spans="1:18" x14ac:dyDescent="0.25">
      <c r="A790" s="228"/>
      <c r="B790" s="8"/>
      <c r="D790" s="8"/>
      <c r="J790" s="8"/>
      <c r="N790" s="8"/>
      <c r="Q790" s="8"/>
      <c r="R790" s="8"/>
    </row>
    <row r="791" spans="1:18" x14ac:dyDescent="0.25">
      <c r="A791" s="228"/>
    </row>
    <row r="792" spans="1:18" x14ac:dyDescent="0.25">
      <c r="A792" s="228"/>
    </row>
    <row r="793" spans="1:18" x14ac:dyDescent="0.25">
      <c r="A793" s="228"/>
      <c r="B793" s="8"/>
      <c r="D793" s="8"/>
      <c r="J793" s="8"/>
      <c r="N793" s="8"/>
      <c r="Q793" s="8"/>
      <c r="R793" s="8"/>
    </row>
    <row r="794" spans="1:18" x14ac:dyDescent="0.25">
      <c r="A794" s="228"/>
      <c r="B794" s="8"/>
      <c r="D794" s="8"/>
      <c r="J794" s="8"/>
      <c r="N794" s="8"/>
      <c r="Q794" s="8"/>
      <c r="R794" s="8"/>
    </row>
    <row r="795" spans="1:18" x14ac:dyDescent="0.25">
      <c r="A795" s="228"/>
    </row>
    <row r="796" spans="1:18" x14ac:dyDescent="0.25">
      <c r="A796" s="228"/>
      <c r="B796" s="8"/>
      <c r="D796" s="8"/>
      <c r="J796" s="8"/>
      <c r="N796" s="8"/>
      <c r="Q796" s="8"/>
      <c r="R796" s="8"/>
    </row>
    <row r="797" spans="1:18" x14ac:dyDescent="0.25">
      <c r="A797" s="228"/>
      <c r="B797" s="8"/>
      <c r="D797" s="8"/>
      <c r="J797" s="8"/>
      <c r="N797" s="8"/>
      <c r="Q797" s="8"/>
      <c r="R797" s="8"/>
    </row>
    <row r="798" spans="1:18" x14ac:dyDescent="0.25">
      <c r="A798" s="228"/>
      <c r="B798" s="8"/>
      <c r="D798" s="8"/>
      <c r="J798" s="8"/>
      <c r="N798" s="8"/>
      <c r="Q798" s="8"/>
      <c r="R798" s="8"/>
    </row>
    <row r="799" spans="1:18" x14ac:dyDescent="0.25">
      <c r="A799" s="228"/>
      <c r="B799" s="8"/>
      <c r="D799" s="8"/>
      <c r="J799" s="8"/>
      <c r="N799" s="8"/>
      <c r="Q799" s="8"/>
      <c r="R799" s="8"/>
    </row>
    <row r="800" spans="1:18" x14ac:dyDescent="0.25">
      <c r="A800" s="228"/>
      <c r="B800" s="8"/>
      <c r="D800" s="8"/>
      <c r="J800" s="8"/>
      <c r="N800" s="8"/>
      <c r="Q800" s="8"/>
      <c r="R800" s="8"/>
    </row>
    <row r="801" spans="1:21" x14ac:dyDescent="0.25">
      <c r="A801" s="228"/>
      <c r="B801" s="8"/>
      <c r="D801" s="8"/>
      <c r="J801" s="8"/>
      <c r="N801" s="8"/>
      <c r="Q801" s="8"/>
      <c r="R801" s="8"/>
    </row>
    <row r="802" spans="1:21" x14ac:dyDescent="0.25">
      <c r="A802" s="228"/>
      <c r="B802" s="8"/>
      <c r="D802" s="8"/>
      <c r="J802" s="8"/>
      <c r="N802" s="8"/>
      <c r="Q802" s="8"/>
      <c r="R802" s="8"/>
    </row>
    <row r="803" spans="1:21" x14ac:dyDescent="0.25">
      <c r="A803" s="228"/>
      <c r="B803" s="5"/>
      <c r="C803" s="4"/>
      <c r="D803" s="5"/>
      <c r="E803" s="4"/>
      <c r="F803" s="4"/>
      <c r="G803" s="32"/>
      <c r="H803" s="32"/>
      <c r="I803" s="32"/>
      <c r="J803" s="5"/>
      <c r="K803" s="51"/>
      <c r="L803" s="32"/>
      <c r="M803" s="32"/>
      <c r="N803" s="5"/>
      <c r="O803" s="33"/>
      <c r="P803" s="26"/>
      <c r="Q803" s="27"/>
      <c r="R803" s="28"/>
      <c r="S803" s="28"/>
      <c r="U803" s="45"/>
    </row>
    <row r="804" spans="1:21" x14ac:dyDescent="0.25">
      <c r="A804" s="228"/>
      <c r="G804" s="38"/>
      <c r="H804" s="38"/>
      <c r="I804" s="38"/>
      <c r="K804" s="52"/>
      <c r="L804" s="38"/>
      <c r="M804" s="38"/>
      <c r="O804" s="27"/>
      <c r="P804" s="26"/>
      <c r="Q804" s="27"/>
      <c r="R804" s="28"/>
      <c r="S804" s="28"/>
      <c r="U804" s="45"/>
    </row>
    <row r="805" spans="1:21" x14ac:dyDescent="0.25">
      <c r="A805" s="228"/>
      <c r="G805" s="38"/>
      <c r="H805" s="38"/>
      <c r="I805" s="38"/>
      <c r="K805" s="52"/>
      <c r="L805" s="38"/>
      <c r="M805" s="38"/>
      <c r="O805" s="27"/>
      <c r="P805" s="26"/>
      <c r="Q805" s="27"/>
      <c r="R805" s="28"/>
      <c r="S805" s="28"/>
      <c r="U805" s="45"/>
    </row>
    <row r="806" spans="1:21" x14ac:dyDescent="0.25">
      <c r="A806" s="228"/>
      <c r="G806" s="38"/>
      <c r="H806" s="38"/>
      <c r="I806" s="38"/>
      <c r="K806" s="52"/>
      <c r="L806" s="38"/>
      <c r="M806" s="38"/>
      <c r="O806" s="27"/>
      <c r="P806" s="26"/>
      <c r="Q806" s="27"/>
      <c r="R806" s="28"/>
      <c r="S806" s="28"/>
      <c r="U806" s="45"/>
    </row>
    <row r="807" spans="1:21" x14ac:dyDescent="0.25">
      <c r="A807" s="228"/>
      <c r="B807" s="5"/>
      <c r="C807" s="4"/>
      <c r="D807" s="5"/>
      <c r="E807" s="4"/>
      <c r="F807" s="4"/>
      <c r="G807" s="32"/>
      <c r="H807" s="32"/>
      <c r="I807" s="32"/>
      <c r="J807" s="5"/>
      <c r="K807" s="51"/>
      <c r="L807" s="32"/>
      <c r="M807" s="32"/>
      <c r="N807" s="5"/>
      <c r="O807" s="33"/>
      <c r="P807" s="26"/>
      <c r="Q807" s="27"/>
      <c r="R807" s="28"/>
      <c r="S807" s="28"/>
      <c r="U807" s="45"/>
    </row>
    <row r="808" spans="1:21" x14ac:dyDescent="0.25">
      <c r="A808" s="228"/>
      <c r="G808" s="38"/>
      <c r="H808" s="38"/>
      <c r="I808" s="38"/>
      <c r="K808" s="52"/>
      <c r="L808" s="38"/>
      <c r="M808" s="38"/>
      <c r="O808" s="27"/>
      <c r="P808" s="26"/>
      <c r="Q808" s="27"/>
      <c r="R808" s="28"/>
      <c r="S808" s="28"/>
      <c r="U808" s="45"/>
    </row>
    <row r="809" spans="1:21" x14ac:dyDescent="0.25">
      <c r="A809" s="228"/>
      <c r="B809" s="5"/>
      <c r="C809" s="4"/>
      <c r="D809" s="5"/>
      <c r="E809" s="4"/>
      <c r="F809" s="4"/>
      <c r="G809" s="32"/>
      <c r="H809" s="32"/>
      <c r="I809" s="32"/>
      <c r="J809" s="5"/>
      <c r="K809" s="51"/>
      <c r="L809" s="32"/>
      <c r="M809" s="32"/>
      <c r="N809" s="5"/>
      <c r="O809" s="33"/>
      <c r="P809" s="26"/>
      <c r="Q809" s="27"/>
      <c r="R809" s="28"/>
      <c r="S809" s="28"/>
      <c r="U809" s="45"/>
    </row>
    <row r="810" spans="1:21" ht="12.75" customHeight="1" x14ac:dyDescent="0.25">
      <c r="A810" s="228"/>
      <c r="B810" s="57"/>
      <c r="C810" s="57"/>
      <c r="D810" s="57"/>
      <c r="E810" s="57"/>
      <c r="F810" s="57"/>
      <c r="G810" s="58"/>
      <c r="H810" s="58"/>
      <c r="I810" s="58"/>
      <c r="J810" s="58"/>
      <c r="K810" s="59"/>
      <c r="L810" s="58"/>
      <c r="M810" s="58"/>
      <c r="N810" s="58"/>
      <c r="O810" s="57"/>
      <c r="P810" s="57"/>
      <c r="Q810" s="57"/>
      <c r="R810" s="58"/>
      <c r="S810" s="57"/>
      <c r="T810" s="245"/>
      <c r="U810" s="45" t="str">
        <f t="shared" ref="U810:U841" si="24">IF(O810&lt;&gt;"",O810*3.28,"")</f>
        <v/>
      </c>
    </row>
    <row r="811" spans="1:21" x14ac:dyDescent="0.25">
      <c r="A811" s="228"/>
      <c r="G811" s="38"/>
      <c r="H811" s="38"/>
      <c r="I811" s="38"/>
      <c r="K811" s="52"/>
      <c r="L811" s="38"/>
      <c r="M811" s="38"/>
      <c r="O811" s="27"/>
      <c r="P811" s="26"/>
      <c r="Q811" s="27"/>
      <c r="R811" s="28"/>
      <c r="S811" s="28"/>
      <c r="U811" s="45" t="str">
        <f t="shared" si="24"/>
        <v/>
      </c>
    </row>
    <row r="812" spans="1:21" x14ac:dyDescent="0.25">
      <c r="A812" s="228"/>
      <c r="B812" s="5"/>
      <c r="C812" s="4"/>
      <c r="D812" s="5"/>
      <c r="E812" s="4"/>
      <c r="F812" s="4"/>
      <c r="G812" s="32"/>
      <c r="H812" s="32"/>
      <c r="I812" s="32"/>
      <c r="J812" s="5"/>
      <c r="K812" s="51"/>
      <c r="L812" s="32"/>
      <c r="M812" s="32"/>
      <c r="N812" s="5"/>
      <c r="O812" s="33"/>
      <c r="P812" s="26"/>
      <c r="Q812" s="27"/>
      <c r="R812" s="28"/>
      <c r="S812" s="28"/>
      <c r="U812" s="45" t="str">
        <f t="shared" si="24"/>
        <v/>
      </c>
    </row>
    <row r="813" spans="1:21" x14ac:dyDescent="0.25">
      <c r="A813" s="228"/>
      <c r="B813" s="5"/>
      <c r="C813" s="4"/>
      <c r="D813" s="5"/>
      <c r="E813" s="4"/>
      <c r="F813" s="4"/>
      <c r="G813" s="32"/>
      <c r="H813" s="32"/>
      <c r="I813" s="32"/>
      <c r="J813" s="5"/>
      <c r="K813" s="51"/>
      <c r="L813" s="32"/>
      <c r="M813" s="32"/>
      <c r="N813" s="5"/>
      <c r="O813" s="33"/>
      <c r="P813" s="26"/>
      <c r="Q813" s="27"/>
      <c r="R813" s="28"/>
      <c r="S813" s="28"/>
      <c r="U813" s="45" t="str">
        <f t="shared" si="24"/>
        <v/>
      </c>
    </row>
    <row r="814" spans="1:21" x14ac:dyDescent="0.25">
      <c r="A814" s="228"/>
      <c r="G814" s="38"/>
      <c r="H814" s="38"/>
      <c r="I814" s="38"/>
      <c r="K814" s="52"/>
      <c r="L814" s="38"/>
      <c r="M814" s="38"/>
      <c r="O814" s="27"/>
      <c r="P814" s="26"/>
      <c r="Q814" s="27"/>
      <c r="R814" s="28"/>
      <c r="S814" s="28"/>
      <c r="U814" s="45" t="str">
        <f t="shared" si="24"/>
        <v/>
      </c>
    </row>
    <row r="815" spans="1:21" x14ac:dyDescent="0.25">
      <c r="A815" s="228"/>
      <c r="G815" s="38"/>
      <c r="H815" s="38"/>
      <c r="I815" s="38"/>
      <c r="K815" s="52"/>
      <c r="L815" s="38"/>
      <c r="M815" s="38"/>
      <c r="O815" s="27"/>
      <c r="P815" s="26"/>
      <c r="Q815" s="27"/>
      <c r="R815" s="28"/>
      <c r="S815" s="28"/>
      <c r="U815" s="45" t="str">
        <f t="shared" si="24"/>
        <v/>
      </c>
    </row>
    <row r="816" spans="1:21" x14ac:dyDescent="0.25">
      <c r="A816" s="228"/>
      <c r="G816" s="38"/>
      <c r="H816" s="38"/>
      <c r="I816" s="38"/>
      <c r="K816" s="52"/>
      <c r="L816" s="38"/>
      <c r="M816" s="38"/>
      <c r="O816" s="27"/>
      <c r="P816" s="26"/>
      <c r="Q816" s="27"/>
      <c r="R816" s="28"/>
      <c r="S816" s="28"/>
      <c r="U816" s="45" t="str">
        <f t="shared" si="24"/>
        <v/>
      </c>
    </row>
    <row r="817" spans="1:21" x14ac:dyDescent="0.25">
      <c r="A817" s="228"/>
      <c r="G817" s="38"/>
      <c r="H817" s="38"/>
      <c r="I817" s="38"/>
      <c r="K817" s="52"/>
      <c r="L817" s="38"/>
      <c r="M817" s="38"/>
      <c r="O817" s="27"/>
      <c r="P817" s="26"/>
      <c r="Q817" s="27"/>
      <c r="R817" s="28"/>
      <c r="S817" s="28"/>
      <c r="U817" s="45" t="str">
        <f t="shared" si="24"/>
        <v/>
      </c>
    </row>
    <row r="818" spans="1:21" x14ac:dyDescent="0.25">
      <c r="A818" s="228"/>
      <c r="B818" s="5"/>
      <c r="C818" s="4"/>
      <c r="D818" s="5"/>
      <c r="E818" s="4"/>
      <c r="F818" s="4"/>
      <c r="G818" s="32"/>
      <c r="H818" s="32"/>
      <c r="I818" s="32"/>
      <c r="J818" s="5"/>
      <c r="K818" s="51"/>
      <c r="L818" s="32"/>
      <c r="M818" s="32"/>
      <c r="N818" s="5"/>
      <c r="O818" s="33"/>
      <c r="P818" s="26"/>
      <c r="Q818" s="27"/>
      <c r="R818" s="28"/>
      <c r="S818" s="28"/>
      <c r="U818" s="45" t="str">
        <f t="shared" si="24"/>
        <v/>
      </c>
    </row>
    <row r="819" spans="1:21" x14ac:dyDescent="0.25">
      <c r="A819" s="228"/>
      <c r="G819" s="38"/>
      <c r="H819" s="38"/>
      <c r="I819" s="38"/>
      <c r="K819" s="52"/>
      <c r="L819" s="38"/>
      <c r="M819" s="38"/>
      <c r="O819" s="27"/>
      <c r="P819" s="26"/>
      <c r="Q819" s="27"/>
      <c r="R819" s="28"/>
      <c r="S819" s="28"/>
      <c r="U819" s="45" t="str">
        <f t="shared" si="24"/>
        <v/>
      </c>
    </row>
    <row r="820" spans="1:21" x14ac:dyDescent="0.25">
      <c r="A820" s="228"/>
      <c r="G820" s="38"/>
      <c r="H820" s="38"/>
      <c r="I820" s="38"/>
      <c r="K820" s="52"/>
      <c r="L820" s="38"/>
      <c r="M820" s="38"/>
      <c r="O820" s="27"/>
      <c r="P820" s="26"/>
      <c r="Q820" s="27"/>
      <c r="R820" s="28"/>
      <c r="S820" s="28"/>
      <c r="U820" s="45" t="str">
        <f t="shared" si="24"/>
        <v/>
      </c>
    </row>
    <row r="821" spans="1:21" x14ac:dyDescent="0.25">
      <c r="A821" s="228"/>
      <c r="G821" s="38"/>
      <c r="H821" s="38"/>
      <c r="I821" s="38"/>
      <c r="K821" s="52"/>
      <c r="L821" s="38"/>
      <c r="M821" s="38"/>
      <c r="O821" s="27"/>
      <c r="P821" s="26"/>
      <c r="Q821" s="27"/>
      <c r="R821" s="28"/>
      <c r="S821" s="28"/>
      <c r="U821" s="45" t="str">
        <f t="shared" si="24"/>
        <v/>
      </c>
    </row>
    <row r="822" spans="1:21" x14ac:dyDescent="0.25">
      <c r="A822" s="228"/>
      <c r="B822" s="5"/>
      <c r="C822" s="4"/>
      <c r="D822" s="5"/>
      <c r="E822" s="4"/>
      <c r="F822" s="4"/>
      <c r="G822" s="32"/>
      <c r="H822" s="32"/>
      <c r="I822" s="32"/>
      <c r="J822" s="5"/>
      <c r="K822" s="51"/>
      <c r="L822" s="32"/>
      <c r="M822" s="32"/>
      <c r="N822" s="5"/>
      <c r="O822" s="33"/>
      <c r="P822" s="26"/>
      <c r="Q822" s="27"/>
      <c r="R822" s="28"/>
      <c r="S822" s="28"/>
      <c r="U822" s="45" t="str">
        <f t="shared" si="24"/>
        <v/>
      </c>
    </row>
    <row r="823" spans="1:21" x14ac:dyDescent="0.25">
      <c r="A823" s="228"/>
      <c r="B823" s="5"/>
      <c r="C823" s="4"/>
      <c r="D823" s="5"/>
      <c r="E823" s="4"/>
      <c r="F823" s="4"/>
      <c r="G823" s="32"/>
      <c r="H823" s="32"/>
      <c r="I823" s="32"/>
      <c r="J823" s="5"/>
      <c r="K823" s="51"/>
      <c r="L823" s="32"/>
      <c r="M823" s="32"/>
      <c r="N823" s="5"/>
      <c r="O823" s="33"/>
      <c r="P823" s="26"/>
      <c r="Q823" s="27"/>
      <c r="R823" s="28"/>
      <c r="S823" s="28"/>
      <c r="U823" s="45" t="str">
        <f t="shared" si="24"/>
        <v/>
      </c>
    </row>
    <row r="824" spans="1:21" x14ac:dyDescent="0.25">
      <c r="A824" s="228"/>
      <c r="B824" s="5"/>
      <c r="D824" s="5"/>
      <c r="E824" s="4"/>
      <c r="F824" s="4"/>
      <c r="G824" s="32"/>
      <c r="H824" s="32"/>
      <c r="I824" s="32"/>
      <c r="J824" s="5"/>
      <c r="K824" s="51"/>
      <c r="L824" s="32"/>
      <c r="M824" s="32"/>
      <c r="N824" s="5"/>
      <c r="O824" s="33"/>
      <c r="P824" s="26"/>
      <c r="Q824" s="27"/>
      <c r="R824" s="28"/>
      <c r="S824" s="28"/>
      <c r="U824" s="45" t="str">
        <f t="shared" si="24"/>
        <v/>
      </c>
    </row>
    <row r="825" spans="1:21" x14ac:dyDescent="0.25">
      <c r="A825" s="228"/>
      <c r="B825" s="5"/>
      <c r="C825" s="4"/>
      <c r="D825" s="5"/>
      <c r="E825" s="4"/>
      <c r="F825" s="4"/>
      <c r="G825" s="32"/>
      <c r="H825" s="32"/>
      <c r="I825" s="32"/>
      <c r="J825" s="5"/>
      <c r="K825" s="51"/>
      <c r="L825" s="32"/>
      <c r="M825" s="32"/>
      <c r="N825" s="5"/>
      <c r="O825" s="33"/>
      <c r="P825" s="26"/>
      <c r="Q825" s="27"/>
      <c r="R825" s="28"/>
      <c r="S825" s="28"/>
      <c r="U825" s="45" t="str">
        <f t="shared" si="24"/>
        <v/>
      </c>
    </row>
    <row r="826" spans="1:21" x14ac:dyDescent="0.25">
      <c r="A826" s="228"/>
      <c r="B826" s="5"/>
      <c r="C826" s="4"/>
      <c r="D826" s="5"/>
      <c r="E826" s="4"/>
      <c r="F826" s="4"/>
      <c r="G826" s="32"/>
      <c r="H826" s="32"/>
      <c r="I826" s="32"/>
      <c r="J826" s="5"/>
      <c r="K826" s="51"/>
      <c r="L826" s="32"/>
      <c r="M826" s="32"/>
      <c r="N826" s="5"/>
      <c r="O826" s="33"/>
      <c r="P826" s="26"/>
      <c r="Q826" s="27"/>
      <c r="R826" s="28"/>
      <c r="S826" s="28"/>
      <c r="U826" s="45" t="str">
        <f t="shared" si="24"/>
        <v/>
      </c>
    </row>
    <row r="827" spans="1:21" x14ac:dyDescent="0.25">
      <c r="A827" s="228"/>
      <c r="G827" s="38"/>
      <c r="H827" s="38"/>
      <c r="I827" s="38"/>
      <c r="K827" s="52"/>
      <c r="L827" s="38"/>
      <c r="M827" s="38"/>
      <c r="O827" s="27"/>
      <c r="P827" s="26"/>
      <c r="Q827" s="27"/>
      <c r="R827" s="28"/>
      <c r="S827" s="28"/>
      <c r="U827" s="45" t="str">
        <f t="shared" si="24"/>
        <v/>
      </c>
    </row>
    <row r="828" spans="1:21" x14ac:dyDescent="0.25">
      <c r="A828" s="228"/>
      <c r="B828" s="5"/>
      <c r="C828" s="4"/>
      <c r="D828" s="5"/>
      <c r="E828" s="4"/>
      <c r="F828" s="4"/>
      <c r="G828" s="32"/>
      <c r="H828" s="32"/>
      <c r="I828" s="32"/>
      <c r="J828" s="5"/>
      <c r="K828" s="51"/>
      <c r="L828" s="32"/>
      <c r="M828" s="32"/>
      <c r="N828" s="5"/>
      <c r="O828" s="33"/>
      <c r="P828" s="26"/>
      <c r="Q828" s="27"/>
      <c r="R828" s="28"/>
      <c r="S828" s="28"/>
      <c r="U828" s="45" t="str">
        <f t="shared" si="24"/>
        <v/>
      </c>
    </row>
    <row r="829" spans="1:21" x14ac:dyDescent="0.25">
      <c r="A829" s="228"/>
      <c r="C829" s="11"/>
      <c r="G829" s="38"/>
      <c r="H829" s="38"/>
      <c r="I829" s="38"/>
      <c r="K829" s="52"/>
      <c r="L829" s="38"/>
      <c r="M829" s="38"/>
      <c r="O829" s="27"/>
      <c r="P829" s="26"/>
      <c r="Q829" s="28"/>
      <c r="S829" s="39"/>
      <c r="U829" s="45" t="str">
        <f t="shared" si="24"/>
        <v/>
      </c>
    </row>
    <row r="830" spans="1:21" x14ac:dyDescent="0.25">
      <c r="A830" s="228"/>
      <c r="C830" s="11"/>
      <c r="G830" s="38"/>
      <c r="H830" s="38"/>
      <c r="I830" s="38"/>
      <c r="K830" s="52"/>
      <c r="L830" s="38"/>
      <c r="M830" s="38"/>
      <c r="O830" s="27"/>
      <c r="P830" s="26"/>
      <c r="Q830" s="28"/>
      <c r="S830" s="39"/>
      <c r="U830" s="45" t="str">
        <f t="shared" si="24"/>
        <v/>
      </c>
    </row>
    <row r="831" spans="1:21" x14ac:dyDescent="0.25">
      <c r="A831" s="228"/>
      <c r="C831" s="11"/>
      <c r="G831" s="38"/>
      <c r="H831" s="38"/>
      <c r="I831" s="38"/>
      <c r="K831" s="52"/>
      <c r="L831" s="38"/>
      <c r="M831" s="38"/>
      <c r="O831" s="27"/>
      <c r="P831" s="26"/>
      <c r="Q831" s="28"/>
      <c r="S831" s="39"/>
      <c r="U831" s="45" t="str">
        <f t="shared" si="24"/>
        <v/>
      </c>
    </row>
    <row r="832" spans="1:21" x14ac:dyDescent="0.25">
      <c r="A832" s="228"/>
      <c r="C832" s="11"/>
      <c r="G832" s="38"/>
      <c r="H832" s="38"/>
      <c r="I832" s="38"/>
      <c r="K832" s="52"/>
      <c r="L832" s="38"/>
      <c r="M832" s="38"/>
      <c r="O832" s="27"/>
      <c r="P832" s="26"/>
      <c r="Q832" s="28"/>
      <c r="S832" s="39"/>
      <c r="U832" s="45" t="str">
        <f t="shared" si="24"/>
        <v/>
      </c>
    </row>
    <row r="833" spans="1:21" x14ac:dyDescent="0.25">
      <c r="A833" s="228"/>
      <c r="C833" s="11"/>
      <c r="G833" s="38"/>
      <c r="H833" s="38"/>
      <c r="I833" s="38"/>
      <c r="K833" s="52"/>
      <c r="L833" s="38"/>
      <c r="M833" s="38"/>
      <c r="O833" s="27"/>
      <c r="P833" s="26"/>
      <c r="Q833" s="28"/>
      <c r="S833" s="39"/>
      <c r="U833" s="45" t="str">
        <f t="shared" si="24"/>
        <v/>
      </c>
    </row>
    <row r="834" spans="1:21" x14ac:dyDescent="0.25">
      <c r="A834" s="228"/>
      <c r="C834" s="11"/>
      <c r="G834" s="38"/>
      <c r="H834" s="38"/>
      <c r="I834" s="38"/>
      <c r="K834" s="52"/>
      <c r="L834" s="38"/>
      <c r="M834" s="38"/>
      <c r="O834" s="27"/>
      <c r="P834" s="26"/>
      <c r="Q834" s="28"/>
      <c r="S834" s="39"/>
      <c r="U834" s="45" t="str">
        <f t="shared" si="24"/>
        <v/>
      </c>
    </row>
    <row r="835" spans="1:21" x14ac:dyDescent="0.25">
      <c r="A835" s="228"/>
      <c r="C835" s="11"/>
      <c r="G835" s="38"/>
      <c r="H835" s="38"/>
      <c r="I835" s="38"/>
      <c r="K835" s="52"/>
      <c r="L835" s="38"/>
      <c r="M835" s="38"/>
      <c r="O835" s="27"/>
      <c r="P835" s="26"/>
      <c r="Q835" s="28"/>
      <c r="S835" s="39"/>
      <c r="U835" s="45" t="str">
        <f t="shared" si="24"/>
        <v/>
      </c>
    </row>
    <row r="836" spans="1:21" x14ac:dyDescent="0.25">
      <c r="A836" s="228"/>
      <c r="C836" s="11"/>
      <c r="G836" s="38"/>
      <c r="H836" s="38"/>
      <c r="I836" s="38"/>
      <c r="K836" s="52"/>
      <c r="L836" s="38"/>
      <c r="M836" s="38"/>
      <c r="O836" s="27"/>
      <c r="P836" s="26"/>
      <c r="Q836" s="28"/>
      <c r="S836" s="39"/>
      <c r="U836" s="45" t="str">
        <f t="shared" si="24"/>
        <v/>
      </c>
    </row>
    <row r="837" spans="1:21" x14ac:dyDescent="0.25">
      <c r="A837" s="228"/>
      <c r="C837" s="11"/>
      <c r="G837" s="38"/>
      <c r="H837" s="38"/>
      <c r="I837" s="38"/>
      <c r="K837" s="52"/>
      <c r="L837" s="38"/>
      <c r="M837" s="38"/>
      <c r="O837" s="27"/>
      <c r="P837" s="26"/>
      <c r="Q837" s="28"/>
      <c r="S837" s="39"/>
      <c r="U837" s="45" t="str">
        <f t="shared" si="24"/>
        <v/>
      </c>
    </row>
    <row r="838" spans="1:21" x14ac:dyDescent="0.25">
      <c r="A838" s="228"/>
      <c r="C838" s="11"/>
      <c r="G838" s="38"/>
      <c r="H838" s="38"/>
      <c r="I838" s="38"/>
      <c r="K838" s="52"/>
      <c r="L838" s="38"/>
      <c r="M838" s="38"/>
      <c r="O838" s="27"/>
      <c r="Q838" s="27"/>
      <c r="S838" s="39"/>
      <c r="U838" s="45" t="str">
        <f t="shared" si="24"/>
        <v/>
      </c>
    </row>
    <row r="839" spans="1:21" x14ac:dyDescent="0.25">
      <c r="A839" s="228"/>
      <c r="C839" s="11"/>
      <c r="G839" s="38"/>
      <c r="H839" s="38"/>
      <c r="I839" s="38"/>
      <c r="K839" s="52"/>
      <c r="L839" s="38"/>
      <c r="M839" s="38"/>
      <c r="O839" s="27"/>
      <c r="Q839" s="27"/>
      <c r="S839" s="39"/>
      <c r="U839" s="45" t="str">
        <f t="shared" si="24"/>
        <v/>
      </c>
    </row>
    <row r="840" spans="1:21" x14ac:dyDescent="0.25">
      <c r="A840" s="228"/>
      <c r="C840" s="11"/>
      <c r="G840" s="38"/>
      <c r="H840" s="38"/>
      <c r="I840" s="38"/>
      <c r="K840" s="52"/>
      <c r="L840" s="38"/>
      <c r="M840" s="38"/>
      <c r="O840" s="27"/>
      <c r="Q840" s="27"/>
      <c r="S840" s="39"/>
      <c r="U840" s="45" t="str">
        <f t="shared" si="24"/>
        <v/>
      </c>
    </row>
    <row r="841" spans="1:21" x14ac:dyDescent="0.25">
      <c r="A841" s="228"/>
      <c r="C841" s="11"/>
      <c r="G841" s="38"/>
      <c r="H841" s="38"/>
      <c r="I841" s="38"/>
      <c r="K841" s="52"/>
      <c r="L841" s="38"/>
      <c r="M841" s="38"/>
      <c r="O841" s="27"/>
      <c r="Q841" s="27"/>
      <c r="S841" s="39"/>
      <c r="U841" s="45" t="str">
        <f t="shared" si="24"/>
        <v/>
      </c>
    </row>
    <row r="842" spans="1:21" x14ac:dyDescent="0.25">
      <c r="A842" s="228"/>
      <c r="C842" s="11"/>
      <c r="G842" s="38"/>
      <c r="H842" s="38"/>
      <c r="I842" s="38"/>
      <c r="K842" s="52"/>
      <c r="L842" s="38"/>
      <c r="M842" s="38"/>
      <c r="O842" s="27"/>
      <c r="Q842" s="27"/>
      <c r="S842" s="39"/>
      <c r="U842" s="45" t="str">
        <f t="shared" ref="U842:U873" si="25">IF(O842&lt;&gt;"",O842*3.28,"")</f>
        <v/>
      </c>
    </row>
    <row r="843" spans="1:21" x14ac:dyDescent="0.25">
      <c r="A843" s="228"/>
      <c r="C843" s="11"/>
      <c r="G843" s="38"/>
      <c r="H843" s="38"/>
      <c r="I843" s="38"/>
      <c r="K843" s="52"/>
      <c r="L843" s="38"/>
      <c r="M843" s="38"/>
      <c r="O843" s="27"/>
      <c r="Q843" s="27"/>
      <c r="S843" s="39"/>
      <c r="U843" s="45" t="str">
        <f t="shared" si="25"/>
        <v/>
      </c>
    </row>
    <row r="844" spans="1:21" x14ac:dyDescent="0.25">
      <c r="A844" s="228"/>
      <c r="C844" s="11"/>
      <c r="G844" s="38"/>
      <c r="H844" s="38"/>
      <c r="I844" s="38"/>
      <c r="K844" s="52"/>
      <c r="L844" s="38"/>
      <c r="M844" s="38"/>
      <c r="O844" s="27"/>
      <c r="Q844" s="27"/>
      <c r="S844" s="39"/>
      <c r="U844" s="45" t="str">
        <f t="shared" si="25"/>
        <v/>
      </c>
    </row>
    <row r="845" spans="1:21" x14ac:dyDescent="0.25">
      <c r="A845" s="228"/>
      <c r="C845" s="11"/>
      <c r="G845" s="38"/>
      <c r="H845" s="38"/>
      <c r="I845" s="38"/>
      <c r="K845" s="52"/>
      <c r="L845" s="38"/>
      <c r="M845" s="38"/>
      <c r="O845" s="27"/>
      <c r="Q845" s="27"/>
      <c r="S845" s="39"/>
      <c r="U845" s="45" t="str">
        <f t="shared" si="25"/>
        <v/>
      </c>
    </row>
    <row r="846" spans="1:21" x14ac:dyDescent="0.25">
      <c r="A846" s="228"/>
      <c r="C846" s="11"/>
      <c r="G846" s="38"/>
      <c r="H846" s="38"/>
      <c r="I846" s="38"/>
      <c r="K846" s="52"/>
      <c r="L846" s="38"/>
      <c r="M846" s="38"/>
      <c r="O846" s="27"/>
      <c r="Q846" s="27"/>
      <c r="S846" s="39"/>
      <c r="U846" s="45" t="str">
        <f t="shared" si="25"/>
        <v/>
      </c>
    </row>
    <row r="847" spans="1:21" x14ac:dyDescent="0.25">
      <c r="A847" s="228"/>
      <c r="C847" s="11"/>
      <c r="G847" s="38"/>
      <c r="H847" s="38"/>
      <c r="I847" s="38"/>
      <c r="K847" s="52"/>
      <c r="L847" s="38"/>
      <c r="M847" s="38"/>
      <c r="O847" s="27"/>
      <c r="Q847" s="27"/>
      <c r="S847" s="39"/>
      <c r="U847" s="45" t="str">
        <f t="shared" si="25"/>
        <v/>
      </c>
    </row>
    <row r="848" spans="1:21" x14ac:dyDescent="0.25">
      <c r="A848" s="228"/>
      <c r="C848" s="11"/>
      <c r="G848" s="38"/>
      <c r="H848" s="38"/>
      <c r="I848" s="38"/>
      <c r="K848" s="52"/>
      <c r="L848" s="38"/>
      <c r="M848" s="38"/>
      <c r="O848" s="27"/>
      <c r="Q848" s="27"/>
      <c r="S848" s="39"/>
      <c r="U848" s="45" t="str">
        <f t="shared" si="25"/>
        <v/>
      </c>
    </row>
    <row r="849" spans="1:21" x14ac:dyDescent="0.25">
      <c r="A849" s="228"/>
      <c r="C849" s="11"/>
      <c r="G849" s="38"/>
      <c r="H849" s="38"/>
      <c r="I849" s="38"/>
      <c r="K849" s="52"/>
      <c r="L849" s="38"/>
      <c r="M849" s="38"/>
      <c r="O849" s="27"/>
      <c r="Q849" s="27"/>
      <c r="S849" s="39"/>
      <c r="U849" s="45" t="str">
        <f t="shared" si="25"/>
        <v/>
      </c>
    </row>
    <row r="850" spans="1:21" x14ac:dyDescent="0.25">
      <c r="A850" s="228"/>
      <c r="C850" s="11"/>
      <c r="G850" s="38"/>
      <c r="H850" s="38"/>
      <c r="I850" s="38"/>
      <c r="K850" s="52"/>
      <c r="L850" s="38"/>
      <c r="M850" s="38"/>
      <c r="O850" s="27"/>
      <c r="Q850" s="27"/>
      <c r="S850" s="39"/>
      <c r="U850" s="45" t="str">
        <f t="shared" si="25"/>
        <v/>
      </c>
    </row>
    <row r="851" spans="1:21" x14ac:dyDescent="0.25">
      <c r="A851" s="228"/>
      <c r="C851" s="11"/>
      <c r="G851" s="38"/>
      <c r="H851" s="38"/>
      <c r="I851" s="38"/>
      <c r="K851" s="52"/>
      <c r="L851" s="38"/>
      <c r="M851" s="38"/>
      <c r="O851" s="27"/>
      <c r="Q851" s="27"/>
      <c r="S851" s="39"/>
      <c r="U851" s="45" t="str">
        <f t="shared" si="25"/>
        <v/>
      </c>
    </row>
    <row r="852" spans="1:21" x14ac:dyDescent="0.25">
      <c r="A852" s="228"/>
      <c r="C852" s="11"/>
      <c r="G852" s="38"/>
      <c r="H852" s="38"/>
      <c r="I852" s="38"/>
      <c r="K852" s="52"/>
      <c r="L852" s="38"/>
      <c r="M852" s="38"/>
      <c r="O852" s="27"/>
      <c r="Q852" s="27"/>
      <c r="S852" s="39"/>
      <c r="U852" s="45" t="str">
        <f t="shared" si="25"/>
        <v/>
      </c>
    </row>
    <row r="853" spans="1:21" x14ac:dyDescent="0.25">
      <c r="A853" s="228"/>
      <c r="C853" s="11"/>
      <c r="G853" s="38"/>
      <c r="H853" s="38"/>
      <c r="I853" s="38"/>
      <c r="K853" s="52"/>
      <c r="L853" s="38"/>
      <c r="M853" s="38"/>
      <c r="O853" s="27"/>
      <c r="Q853" s="27"/>
      <c r="S853" s="39"/>
      <c r="U853" s="45" t="str">
        <f t="shared" si="25"/>
        <v/>
      </c>
    </row>
    <row r="854" spans="1:21" x14ac:dyDescent="0.25">
      <c r="A854" s="228"/>
      <c r="C854" s="11"/>
      <c r="G854" s="38"/>
      <c r="H854" s="38"/>
      <c r="I854" s="38"/>
      <c r="K854" s="52"/>
      <c r="L854" s="38"/>
      <c r="M854" s="38"/>
      <c r="O854" s="27"/>
      <c r="Q854" s="27"/>
      <c r="S854" s="39"/>
      <c r="U854" s="45" t="str">
        <f t="shared" si="25"/>
        <v/>
      </c>
    </row>
    <row r="855" spans="1:21" x14ac:dyDescent="0.25">
      <c r="A855" s="228"/>
      <c r="C855" s="11"/>
      <c r="G855" s="38"/>
      <c r="H855" s="38"/>
      <c r="I855" s="38"/>
      <c r="K855" s="52"/>
      <c r="L855" s="38"/>
      <c r="M855" s="38"/>
      <c r="O855" s="27"/>
      <c r="Q855" s="27"/>
      <c r="S855" s="39"/>
      <c r="U855" s="45" t="str">
        <f t="shared" si="25"/>
        <v/>
      </c>
    </row>
    <row r="856" spans="1:21" x14ac:dyDescent="0.25">
      <c r="A856" s="228"/>
      <c r="C856" s="11"/>
      <c r="G856" s="38"/>
      <c r="H856" s="38"/>
      <c r="I856" s="38"/>
      <c r="K856" s="52"/>
      <c r="L856" s="38"/>
      <c r="M856" s="38"/>
      <c r="O856" s="27"/>
      <c r="Q856" s="27"/>
      <c r="S856" s="39"/>
      <c r="U856" s="45" t="str">
        <f t="shared" si="25"/>
        <v/>
      </c>
    </row>
    <row r="857" spans="1:21" x14ac:dyDescent="0.25">
      <c r="A857" s="228"/>
      <c r="C857" s="11"/>
      <c r="G857" s="38"/>
      <c r="H857" s="38"/>
      <c r="I857" s="38"/>
      <c r="K857" s="52"/>
      <c r="L857" s="38"/>
      <c r="M857" s="38"/>
      <c r="O857" s="27"/>
      <c r="Q857" s="27"/>
      <c r="S857" s="39"/>
      <c r="U857" s="45" t="str">
        <f t="shared" si="25"/>
        <v/>
      </c>
    </row>
    <row r="858" spans="1:21" x14ac:dyDescent="0.25">
      <c r="A858" s="228"/>
      <c r="C858" s="11"/>
      <c r="G858" s="38"/>
      <c r="H858" s="38"/>
      <c r="I858" s="38"/>
      <c r="K858" s="52"/>
      <c r="L858" s="38"/>
      <c r="M858" s="38"/>
      <c r="O858" s="27"/>
      <c r="Q858" s="27"/>
      <c r="S858" s="39"/>
      <c r="U858" s="45" t="str">
        <f t="shared" si="25"/>
        <v/>
      </c>
    </row>
    <row r="859" spans="1:21" x14ac:dyDescent="0.25">
      <c r="A859" s="228"/>
      <c r="C859" s="11"/>
      <c r="G859" s="38"/>
      <c r="H859" s="38"/>
      <c r="I859" s="38"/>
      <c r="K859" s="52"/>
      <c r="L859" s="38"/>
      <c r="M859" s="38"/>
      <c r="O859" s="27"/>
      <c r="Q859" s="27"/>
      <c r="S859" s="39"/>
      <c r="U859" s="45" t="str">
        <f t="shared" si="25"/>
        <v/>
      </c>
    </row>
    <row r="860" spans="1:21" x14ac:dyDescent="0.25">
      <c r="A860" s="228"/>
      <c r="C860" s="11"/>
      <c r="G860" s="38"/>
      <c r="H860" s="38"/>
      <c r="I860" s="38"/>
      <c r="K860" s="52"/>
      <c r="L860" s="38"/>
      <c r="M860" s="38"/>
      <c r="O860" s="27"/>
      <c r="Q860" s="27"/>
      <c r="S860" s="39"/>
      <c r="U860" s="45" t="str">
        <f t="shared" si="25"/>
        <v/>
      </c>
    </row>
    <row r="861" spans="1:21" x14ac:dyDescent="0.25">
      <c r="A861" s="228"/>
      <c r="C861" s="11"/>
      <c r="G861" s="38"/>
      <c r="H861" s="38"/>
      <c r="I861" s="38"/>
      <c r="K861" s="52"/>
      <c r="L861" s="38"/>
      <c r="M861" s="38"/>
      <c r="O861" s="27"/>
      <c r="Q861" s="27"/>
      <c r="S861" s="39"/>
      <c r="U861" s="45" t="str">
        <f t="shared" si="25"/>
        <v/>
      </c>
    </row>
    <row r="862" spans="1:21" x14ac:dyDescent="0.25">
      <c r="A862" s="228"/>
      <c r="C862" s="11"/>
      <c r="G862" s="38"/>
      <c r="H862" s="38"/>
      <c r="I862" s="38"/>
      <c r="K862" s="52"/>
      <c r="L862" s="38"/>
      <c r="M862" s="38"/>
      <c r="O862" s="27"/>
      <c r="Q862" s="27"/>
      <c r="S862" s="39"/>
      <c r="U862" s="45" t="str">
        <f t="shared" si="25"/>
        <v/>
      </c>
    </row>
    <row r="863" spans="1:21" x14ac:dyDescent="0.25">
      <c r="A863" s="228"/>
      <c r="C863" s="11"/>
      <c r="G863" s="38"/>
      <c r="H863" s="38"/>
      <c r="I863" s="38"/>
      <c r="K863" s="52"/>
      <c r="L863" s="38"/>
      <c r="M863" s="38"/>
      <c r="O863" s="27"/>
      <c r="Q863" s="27"/>
      <c r="S863" s="39"/>
      <c r="U863" s="45" t="str">
        <f t="shared" si="25"/>
        <v/>
      </c>
    </row>
    <row r="864" spans="1:21" x14ac:dyDescent="0.25">
      <c r="A864" s="228"/>
      <c r="C864" s="11"/>
      <c r="G864" s="38"/>
      <c r="H864" s="38"/>
      <c r="I864" s="38"/>
      <c r="K864" s="52"/>
      <c r="L864" s="38"/>
      <c r="M864" s="38"/>
      <c r="O864" s="27"/>
      <c r="Q864" s="27"/>
      <c r="S864" s="39"/>
      <c r="U864" s="45" t="str">
        <f t="shared" si="25"/>
        <v/>
      </c>
    </row>
    <row r="865" spans="1:21" x14ac:dyDescent="0.25">
      <c r="A865" s="228"/>
      <c r="C865" s="11"/>
      <c r="G865" s="38"/>
      <c r="H865" s="38"/>
      <c r="I865" s="38"/>
      <c r="K865" s="52"/>
      <c r="L865" s="38"/>
      <c r="M865" s="38"/>
      <c r="O865" s="27"/>
      <c r="Q865" s="27"/>
      <c r="S865" s="39"/>
      <c r="U865" s="45" t="str">
        <f t="shared" si="25"/>
        <v/>
      </c>
    </row>
    <row r="866" spans="1:21" x14ac:dyDescent="0.25">
      <c r="A866" s="228"/>
      <c r="C866" s="11"/>
      <c r="G866" s="38"/>
      <c r="H866" s="38"/>
      <c r="I866" s="38"/>
      <c r="K866" s="52"/>
      <c r="L866" s="38"/>
      <c r="M866" s="38"/>
      <c r="O866" s="27"/>
      <c r="Q866" s="27"/>
      <c r="S866" s="39"/>
      <c r="U866" s="45" t="str">
        <f t="shared" si="25"/>
        <v/>
      </c>
    </row>
    <row r="867" spans="1:21" x14ac:dyDescent="0.25">
      <c r="A867" s="228"/>
      <c r="C867" s="11"/>
      <c r="G867" s="38"/>
      <c r="H867" s="38"/>
      <c r="I867" s="38"/>
      <c r="K867" s="52"/>
      <c r="L867" s="38"/>
      <c r="M867" s="38"/>
      <c r="O867" s="27"/>
      <c r="Q867" s="27"/>
      <c r="S867" s="39"/>
      <c r="U867" s="45" t="str">
        <f t="shared" si="25"/>
        <v/>
      </c>
    </row>
    <row r="868" spans="1:21" x14ac:dyDescent="0.25">
      <c r="A868" s="228"/>
      <c r="C868" s="11"/>
      <c r="G868" s="38"/>
      <c r="H868" s="38"/>
      <c r="I868" s="38"/>
      <c r="K868" s="52"/>
      <c r="L868" s="38"/>
      <c r="M868" s="38"/>
      <c r="O868" s="27"/>
      <c r="Q868" s="27"/>
      <c r="S868" s="39"/>
      <c r="U868" s="45" t="str">
        <f t="shared" si="25"/>
        <v/>
      </c>
    </row>
    <row r="869" spans="1:21" x14ac:dyDescent="0.25">
      <c r="A869" s="228"/>
      <c r="G869" s="38"/>
      <c r="H869" s="38"/>
      <c r="I869" s="38"/>
      <c r="K869" s="52"/>
      <c r="L869" s="38"/>
      <c r="M869" s="38"/>
      <c r="O869" s="27"/>
      <c r="Q869" s="27"/>
      <c r="S869" s="39"/>
      <c r="U869" s="45" t="str">
        <f t="shared" si="25"/>
        <v/>
      </c>
    </row>
    <row r="870" spans="1:21" x14ac:dyDescent="0.25">
      <c r="A870" s="228"/>
      <c r="G870" s="38"/>
      <c r="H870" s="38"/>
      <c r="I870" s="38"/>
      <c r="K870" s="52"/>
      <c r="L870" s="38"/>
      <c r="M870" s="38"/>
      <c r="O870" s="27"/>
      <c r="Q870" s="27"/>
      <c r="S870" s="39"/>
      <c r="U870" s="45" t="str">
        <f t="shared" si="25"/>
        <v/>
      </c>
    </row>
    <row r="871" spans="1:21" x14ac:dyDescent="0.25">
      <c r="A871" s="228"/>
      <c r="G871" s="38"/>
      <c r="H871" s="38"/>
      <c r="I871" s="38"/>
      <c r="K871" s="52"/>
      <c r="L871" s="38"/>
      <c r="M871" s="38"/>
      <c r="O871" s="27"/>
      <c r="Q871" s="27"/>
      <c r="S871" s="39"/>
      <c r="U871" s="45" t="str">
        <f t="shared" si="25"/>
        <v/>
      </c>
    </row>
    <row r="872" spans="1:21" x14ac:dyDescent="0.25">
      <c r="A872" s="228"/>
      <c r="G872" s="38"/>
      <c r="H872" s="38"/>
      <c r="I872" s="38"/>
      <c r="K872" s="52"/>
      <c r="L872" s="38"/>
      <c r="M872" s="38"/>
      <c r="O872" s="27"/>
      <c r="Q872" s="27"/>
      <c r="S872" s="39"/>
      <c r="U872" s="45" t="str">
        <f t="shared" si="25"/>
        <v/>
      </c>
    </row>
    <row r="873" spans="1:21" x14ac:dyDescent="0.25">
      <c r="A873" s="228"/>
      <c r="G873" s="38"/>
      <c r="H873" s="38"/>
      <c r="I873" s="38"/>
      <c r="K873" s="52"/>
      <c r="L873" s="38"/>
      <c r="M873" s="38"/>
      <c r="O873" s="27"/>
      <c r="Q873" s="27"/>
      <c r="S873" s="39"/>
      <c r="U873" s="45" t="str">
        <f t="shared" si="25"/>
        <v/>
      </c>
    </row>
    <row r="874" spans="1:21" x14ac:dyDescent="0.25">
      <c r="A874" s="228"/>
      <c r="G874" s="38"/>
      <c r="H874" s="38"/>
      <c r="I874" s="38"/>
      <c r="K874" s="52"/>
      <c r="L874" s="38"/>
      <c r="M874" s="38"/>
      <c r="O874" s="27"/>
      <c r="Q874" s="27"/>
      <c r="S874" s="39"/>
      <c r="U874" s="45" t="str">
        <f t="shared" ref="U874:U905" si="26">IF(O874&lt;&gt;"",O874*3.28,"")</f>
        <v/>
      </c>
    </row>
    <row r="875" spans="1:21" x14ac:dyDescent="0.25">
      <c r="A875" s="228"/>
      <c r="G875" s="38"/>
      <c r="H875" s="38"/>
      <c r="I875" s="38"/>
      <c r="K875" s="52"/>
      <c r="L875" s="38"/>
      <c r="M875" s="38"/>
      <c r="O875" s="27"/>
      <c r="Q875" s="27"/>
      <c r="S875" s="39"/>
      <c r="U875" s="45" t="str">
        <f t="shared" si="26"/>
        <v/>
      </c>
    </row>
    <row r="876" spans="1:21" x14ac:dyDescent="0.25">
      <c r="A876" s="228"/>
      <c r="G876" s="38"/>
      <c r="H876" s="38"/>
      <c r="I876" s="38"/>
      <c r="K876" s="52"/>
      <c r="L876" s="38"/>
      <c r="M876" s="38"/>
      <c r="O876" s="27"/>
      <c r="Q876" s="27"/>
      <c r="S876" s="39"/>
      <c r="U876" s="45" t="str">
        <f t="shared" si="26"/>
        <v/>
      </c>
    </row>
    <row r="877" spans="1:21" x14ac:dyDescent="0.25">
      <c r="A877" s="228"/>
      <c r="G877" s="38"/>
      <c r="H877" s="38"/>
      <c r="I877" s="38"/>
      <c r="K877" s="52"/>
      <c r="L877" s="38"/>
      <c r="M877" s="38"/>
      <c r="O877" s="27"/>
      <c r="Q877" s="27"/>
      <c r="S877" s="39"/>
      <c r="U877" s="45" t="str">
        <f t="shared" si="26"/>
        <v/>
      </c>
    </row>
    <row r="878" spans="1:21" x14ac:dyDescent="0.25">
      <c r="A878" s="228"/>
      <c r="G878" s="38"/>
      <c r="H878" s="38"/>
      <c r="I878" s="38"/>
      <c r="K878" s="52"/>
      <c r="L878" s="38"/>
      <c r="M878" s="38"/>
      <c r="O878" s="27"/>
      <c r="Q878" s="27"/>
      <c r="S878" s="39"/>
      <c r="U878" s="45" t="str">
        <f t="shared" si="26"/>
        <v/>
      </c>
    </row>
    <row r="879" spans="1:21" x14ac:dyDescent="0.25">
      <c r="A879" s="228"/>
      <c r="G879" s="38"/>
      <c r="H879" s="38"/>
      <c r="I879" s="38"/>
      <c r="K879" s="52"/>
      <c r="L879" s="38"/>
      <c r="M879" s="38"/>
      <c r="O879" s="27"/>
      <c r="Q879" s="27"/>
      <c r="S879" s="39"/>
      <c r="U879" s="45" t="str">
        <f t="shared" si="26"/>
        <v/>
      </c>
    </row>
    <row r="880" spans="1:21" x14ac:dyDescent="0.25">
      <c r="A880" s="228"/>
      <c r="G880" s="38"/>
      <c r="H880" s="38"/>
      <c r="I880" s="38"/>
      <c r="K880" s="52"/>
      <c r="L880" s="38"/>
      <c r="M880" s="38"/>
      <c r="O880" s="27"/>
      <c r="Q880" s="27"/>
      <c r="S880" s="39"/>
      <c r="U880" s="45" t="str">
        <f t="shared" si="26"/>
        <v/>
      </c>
    </row>
    <row r="881" spans="1:21" x14ac:dyDescent="0.25">
      <c r="A881" s="228"/>
      <c r="G881" s="38"/>
      <c r="H881" s="38"/>
      <c r="I881" s="38"/>
      <c r="K881" s="52"/>
      <c r="L881" s="38"/>
      <c r="M881" s="38"/>
      <c r="O881" s="27"/>
      <c r="Q881" s="27"/>
      <c r="S881" s="39"/>
      <c r="U881" s="45" t="str">
        <f t="shared" si="26"/>
        <v/>
      </c>
    </row>
    <row r="882" spans="1:21" x14ac:dyDescent="0.25">
      <c r="A882" s="228"/>
      <c r="G882" s="38"/>
      <c r="H882" s="38"/>
      <c r="I882" s="38"/>
      <c r="K882" s="52"/>
      <c r="L882" s="38"/>
      <c r="M882" s="38"/>
      <c r="O882" s="27"/>
      <c r="Q882" s="27"/>
      <c r="S882" s="39"/>
      <c r="U882" s="45" t="str">
        <f t="shared" si="26"/>
        <v/>
      </c>
    </row>
    <row r="883" spans="1:21" x14ac:dyDescent="0.25">
      <c r="A883" s="228"/>
      <c r="G883" s="38"/>
      <c r="H883" s="38"/>
      <c r="I883" s="38"/>
      <c r="K883" s="52"/>
      <c r="L883" s="38"/>
      <c r="M883" s="38"/>
      <c r="O883" s="27"/>
      <c r="Q883" s="27"/>
      <c r="S883" s="39"/>
      <c r="U883" s="45" t="str">
        <f t="shared" si="26"/>
        <v/>
      </c>
    </row>
    <row r="884" spans="1:21" x14ac:dyDescent="0.25">
      <c r="A884" s="228"/>
      <c r="G884" s="38"/>
      <c r="H884" s="38"/>
      <c r="I884" s="38"/>
      <c r="K884" s="52"/>
      <c r="L884" s="38"/>
      <c r="M884" s="38"/>
      <c r="O884" s="27"/>
      <c r="Q884" s="27"/>
      <c r="S884" s="39"/>
      <c r="U884" s="45" t="str">
        <f t="shared" si="26"/>
        <v/>
      </c>
    </row>
    <row r="885" spans="1:21" x14ac:dyDescent="0.25">
      <c r="A885" s="228"/>
      <c r="G885" s="38"/>
      <c r="H885" s="38"/>
      <c r="I885" s="38"/>
      <c r="K885" s="52"/>
      <c r="L885" s="38"/>
      <c r="M885" s="38"/>
      <c r="O885" s="27"/>
      <c r="Q885" s="27"/>
      <c r="S885" s="39"/>
      <c r="U885" s="45" t="str">
        <f t="shared" si="26"/>
        <v/>
      </c>
    </row>
    <row r="886" spans="1:21" x14ac:dyDescent="0.25">
      <c r="A886" s="228"/>
      <c r="G886" s="38"/>
      <c r="H886" s="38"/>
      <c r="I886" s="38"/>
      <c r="K886" s="52"/>
      <c r="L886" s="38"/>
      <c r="M886" s="38"/>
      <c r="O886" s="27"/>
      <c r="Q886" s="27"/>
      <c r="S886" s="39"/>
      <c r="U886" s="45" t="str">
        <f t="shared" si="26"/>
        <v/>
      </c>
    </row>
    <row r="887" spans="1:21" x14ac:dyDescent="0.25">
      <c r="A887" s="228"/>
      <c r="G887" s="38"/>
      <c r="H887" s="38"/>
      <c r="I887" s="38"/>
      <c r="K887" s="52"/>
      <c r="L887" s="38"/>
      <c r="M887" s="38"/>
      <c r="O887" s="27"/>
      <c r="Q887" s="27"/>
      <c r="S887" s="39"/>
      <c r="U887" s="45" t="str">
        <f t="shared" si="26"/>
        <v/>
      </c>
    </row>
    <row r="888" spans="1:21" x14ac:dyDescent="0.25">
      <c r="A888" s="228"/>
      <c r="G888" s="38"/>
      <c r="H888" s="38"/>
      <c r="I888" s="38"/>
      <c r="K888" s="52"/>
      <c r="L888" s="38"/>
      <c r="M888" s="38"/>
      <c r="O888" s="27"/>
      <c r="Q888" s="27"/>
      <c r="U888" s="45" t="str">
        <f t="shared" si="26"/>
        <v/>
      </c>
    </row>
    <row r="889" spans="1:21" x14ac:dyDescent="0.25">
      <c r="A889" s="228"/>
      <c r="G889" s="38"/>
      <c r="H889" s="38"/>
      <c r="I889" s="38"/>
      <c r="K889" s="52"/>
      <c r="L889" s="38"/>
      <c r="M889" s="38"/>
      <c r="O889" s="27"/>
      <c r="Q889" s="27"/>
      <c r="U889" s="45" t="str">
        <f t="shared" si="26"/>
        <v/>
      </c>
    </row>
    <row r="890" spans="1:21" x14ac:dyDescent="0.25">
      <c r="A890" s="228"/>
      <c r="G890" s="38"/>
      <c r="H890" s="38"/>
      <c r="I890" s="38"/>
      <c r="K890" s="52"/>
      <c r="L890" s="38"/>
      <c r="M890" s="38"/>
      <c r="O890" s="27"/>
      <c r="Q890" s="27"/>
      <c r="U890" s="45" t="str">
        <f t="shared" si="26"/>
        <v/>
      </c>
    </row>
    <row r="891" spans="1:21" x14ac:dyDescent="0.25">
      <c r="A891" s="228"/>
      <c r="G891" s="38"/>
      <c r="H891" s="38"/>
      <c r="I891" s="38"/>
      <c r="K891" s="52"/>
      <c r="L891" s="38"/>
      <c r="M891" s="38"/>
      <c r="O891" s="27"/>
      <c r="Q891" s="27"/>
      <c r="U891" s="45" t="str">
        <f t="shared" si="26"/>
        <v/>
      </c>
    </row>
    <row r="892" spans="1:21" x14ac:dyDescent="0.25">
      <c r="A892" s="228"/>
      <c r="G892" s="38"/>
      <c r="H892" s="38"/>
      <c r="I892" s="38"/>
      <c r="K892" s="52"/>
      <c r="L892" s="38"/>
      <c r="M892" s="38"/>
      <c r="O892" s="27"/>
      <c r="Q892" s="27"/>
      <c r="U892" s="45" t="str">
        <f t="shared" si="26"/>
        <v/>
      </c>
    </row>
    <row r="893" spans="1:21" x14ac:dyDescent="0.25">
      <c r="A893" s="228"/>
      <c r="G893" s="38"/>
      <c r="H893" s="38"/>
      <c r="I893" s="38"/>
      <c r="K893" s="52"/>
      <c r="L893" s="38"/>
      <c r="M893" s="38"/>
      <c r="O893" s="27"/>
      <c r="Q893" s="27"/>
      <c r="U893" s="45" t="str">
        <f t="shared" si="26"/>
        <v/>
      </c>
    </row>
    <row r="894" spans="1:21" x14ac:dyDescent="0.25">
      <c r="A894" s="228"/>
      <c r="G894" s="38"/>
      <c r="H894" s="38"/>
      <c r="I894" s="38"/>
      <c r="K894" s="52"/>
      <c r="L894" s="38"/>
      <c r="M894" s="38"/>
      <c r="O894" s="27"/>
      <c r="Q894" s="27"/>
      <c r="U894" s="45" t="str">
        <f t="shared" si="26"/>
        <v/>
      </c>
    </row>
    <row r="895" spans="1:21" x14ac:dyDescent="0.25">
      <c r="A895" s="228"/>
      <c r="G895" s="38"/>
      <c r="H895" s="38"/>
      <c r="I895" s="38"/>
      <c r="K895" s="52"/>
      <c r="L895" s="38"/>
      <c r="M895" s="38"/>
      <c r="O895" s="27"/>
      <c r="Q895" s="27"/>
      <c r="U895" s="45" t="str">
        <f t="shared" si="26"/>
        <v/>
      </c>
    </row>
    <row r="896" spans="1:21" x14ac:dyDescent="0.25">
      <c r="A896" s="228"/>
      <c r="G896" s="38"/>
      <c r="H896" s="38"/>
      <c r="I896" s="38"/>
      <c r="K896" s="52"/>
      <c r="L896" s="38"/>
      <c r="M896" s="38"/>
      <c r="O896" s="27"/>
      <c r="Q896" s="27"/>
      <c r="U896" s="45" t="str">
        <f t="shared" si="26"/>
        <v/>
      </c>
    </row>
    <row r="897" spans="1:21" x14ac:dyDescent="0.25">
      <c r="A897" s="228"/>
      <c r="G897" s="38"/>
      <c r="H897" s="38"/>
      <c r="I897" s="38"/>
      <c r="K897" s="52"/>
      <c r="L897" s="38"/>
      <c r="M897" s="38"/>
      <c r="O897" s="27"/>
      <c r="Q897" s="27"/>
      <c r="U897" s="45" t="str">
        <f t="shared" si="26"/>
        <v/>
      </c>
    </row>
    <row r="898" spans="1:21" x14ac:dyDescent="0.25">
      <c r="A898" s="228"/>
      <c r="G898" s="38"/>
      <c r="H898" s="38"/>
      <c r="I898" s="38"/>
      <c r="K898" s="52"/>
      <c r="L898" s="38"/>
      <c r="M898" s="38"/>
      <c r="O898" s="27"/>
      <c r="Q898" s="27"/>
      <c r="U898" s="45" t="str">
        <f t="shared" si="26"/>
        <v/>
      </c>
    </row>
    <row r="899" spans="1:21" x14ac:dyDescent="0.25">
      <c r="A899" s="228"/>
      <c r="G899" s="38"/>
      <c r="H899" s="38"/>
      <c r="I899" s="38"/>
      <c r="K899" s="52"/>
      <c r="L899" s="38"/>
      <c r="M899" s="38"/>
      <c r="O899" s="27"/>
      <c r="Q899" s="27"/>
      <c r="U899" s="45" t="str">
        <f t="shared" si="26"/>
        <v/>
      </c>
    </row>
    <row r="900" spans="1:21" x14ac:dyDescent="0.25">
      <c r="A900" s="228"/>
      <c r="G900" s="38"/>
      <c r="H900" s="38"/>
      <c r="I900" s="38"/>
      <c r="K900" s="52"/>
      <c r="L900" s="38"/>
      <c r="M900" s="38"/>
      <c r="O900" s="27"/>
      <c r="Q900" s="27"/>
      <c r="U900" s="45" t="str">
        <f t="shared" si="26"/>
        <v/>
      </c>
    </row>
    <row r="901" spans="1:21" x14ac:dyDescent="0.25">
      <c r="A901" s="228"/>
      <c r="G901" s="38"/>
      <c r="H901" s="38"/>
      <c r="I901" s="38"/>
      <c r="K901" s="52"/>
      <c r="L901" s="38"/>
      <c r="M901" s="38"/>
      <c r="O901" s="27"/>
      <c r="Q901" s="27"/>
      <c r="U901" s="45" t="str">
        <f t="shared" si="26"/>
        <v/>
      </c>
    </row>
    <row r="902" spans="1:21" x14ac:dyDescent="0.25">
      <c r="A902" s="228"/>
      <c r="G902" s="38"/>
      <c r="H902" s="38"/>
      <c r="I902" s="38"/>
      <c r="K902" s="52"/>
      <c r="L902" s="38"/>
      <c r="M902" s="38"/>
      <c r="O902" s="27"/>
      <c r="Q902" s="27"/>
      <c r="U902" s="45" t="str">
        <f t="shared" si="26"/>
        <v/>
      </c>
    </row>
    <row r="903" spans="1:21" x14ac:dyDescent="0.25">
      <c r="A903" s="228"/>
      <c r="G903" s="38"/>
      <c r="H903" s="38"/>
      <c r="I903" s="38"/>
      <c r="K903" s="52"/>
      <c r="L903" s="38"/>
      <c r="M903" s="38"/>
      <c r="O903" s="27"/>
      <c r="Q903" s="27"/>
      <c r="U903" s="45" t="str">
        <f t="shared" si="26"/>
        <v/>
      </c>
    </row>
    <row r="904" spans="1:21" x14ac:dyDescent="0.25">
      <c r="A904" s="228"/>
      <c r="G904" s="38"/>
      <c r="H904" s="38"/>
      <c r="I904" s="38"/>
      <c r="K904" s="52"/>
      <c r="L904" s="38"/>
      <c r="M904" s="38"/>
      <c r="O904" s="27"/>
      <c r="Q904" s="27"/>
      <c r="U904" s="45" t="str">
        <f t="shared" si="26"/>
        <v/>
      </c>
    </row>
    <row r="905" spans="1:21" x14ac:dyDescent="0.25">
      <c r="A905" s="228"/>
      <c r="G905" s="38"/>
      <c r="H905" s="38"/>
      <c r="I905" s="38"/>
      <c r="K905" s="52"/>
      <c r="L905" s="38"/>
      <c r="M905" s="38"/>
      <c r="O905" s="27"/>
      <c r="Q905" s="27"/>
      <c r="U905" s="45" t="str">
        <f t="shared" si="26"/>
        <v/>
      </c>
    </row>
    <row r="906" spans="1:21" x14ac:dyDescent="0.25">
      <c r="A906" s="228"/>
      <c r="G906" s="38"/>
      <c r="H906" s="38"/>
      <c r="I906" s="38"/>
      <c r="K906" s="52"/>
      <c r="L906" s="38"/>
      <c r="M906" s="38"/>
      <c r="O906" s="27"/>
      <c r="Q906" s="27"/>
      <c r="U906" s="45" t="str">
        <f t="shared" ref="U906:U937" si="27">IF(O906&lt;&gt;"",O906*3.28,"")</f>
        <v/>
      </c>
    </row>
    <row r="907" spans="1:21" x14ac:dyDescent="0.25">
      <c r="A907" s="228"/>
      <c r="G907" s="38"/>
      <c r="H907" s="38"/>
      <c r="I907" s="38"/>
      <c r="K907" s="52"/>
      <c r="L907" s="38"/>
      <c r="M907" s="38"/>
      <c r="O907" s="27"/>
      <c r="Q907" s="27"/>
      <c r="U907" s="45" t="str">
        <f t="shared" si="27"/>
        <v/>
      </c>
    </row>
    <row r="908" spans="1:21" x14ac:dyDescent="0.25">
      <c r="A908" s="228"/>
      <c r="G908" s="38"/>
      <c r="H908" s="38"/>
      <c r="I908" s="38"/>
      <c r="K908" s="52"/>
      <c r="L908" s="38"/>
      <c r="M908" s="38"/>
      <c r="O908" s="27"/>
      <c r="Q908" s="27"/>
      <c r="U908" s="45" t="str">
        <f t="shared" si="27"/>
        <v/>
      </c>
    </row>
    <row r="909" spans="1:21" x14ac:dyDescent="0.25">
      <c r="A909" s="228"/>
      <c r="G909" s="38"/>
      <c r="H909" s="38"/>
      <c r="I909" s="38"/>
      <c r="K909" s="52"/>
      <c r="L909" s="38"/>
      <c r="M909" s="38"/>
      <c r="O909" s="27"/>
      <c r="Q909" s="27"/>
      <c r="U909" s="45" t="str">
        <f t="shared" si="27"/>
        <v/>
      </c>
    </row>
    <row r="910" spans="1:21" x14ac:dyDescent="0.25">
      <c r="A910" s="228"/>
      <c r="G910" s="38"/>
      <c r="H910" s="38"/>
      <c r="I910" s="38"/>
      <c r="K910" s="52"/>
      <c r="L910" s="38"/>
      <c r="M910" s="38"/>
      <c r="O910" s="27"/>
      <c r="Q910" s="27"/>
      <c r="U910" s="45" t="str">
        <f t="shared" si="27"/>
        <v/>
      </c>
    </row>
    <row r="911" spans="1:21" x14ac:dyDescent="0.25">
      <c r="A911" s="228"/>
      <c r="G911" s="38"/>
      <c r="H911" s="38"/>
      <c r="I911" s="38"/>
      <c r="K911" s="52"/>
      <c r="L911" s="38"/>
      <c r="M911" s="38"/>
      <c r="O911" s="27"/>
      <c r="Q911" s="27"/>
      <c r="U911" s="45" t="str">
        <f t="shared" si="27"/>
        <v/>
      </c>
    </row>
    <row r="912" spans="1:21" x14ac:dyDescent="0.25">
      <c r="A912" s="228"/>
      <c r="G912" s="38"/>
      <c r="H912" s="38"/>
      <c r="I912" s="38"/>
      <c r="K912" s="52"/>
      <c r="L912" s="38"/>
      <c r="M912" s="38"/>
      <c r="O912" s="27"/>
      <c r="Q912" s="27"/>
      <c r="U912" s="45" t="str">
        <f t="shared" si="27"/>
        <v/>
      </c>
    </row>
    <row r="913" spans="1:21" x14ac:dyDescent="0.25">
      <c r="A913" s="228"/>
      <c r="G913" s="38"/>
      <c r="H913" s="38"/>
      <c r="I913" s="38"/>
      <c r="K913" s="52"/>
      <c r="L913" s="38"/>
      <c r="M913" s="38"/>
      <c r="O913" s="27"/>
      <c r="Q913" s="27"/>
      <c r="U913" s="45" t="str">
        <f t="shared" si="27"/>
        <v/>
      </c>
    </row>
    <row r="914" spans="1:21" x14ac:dyDescent="0.25">
      <c r="A914" s="228"/>
      <c r="G914" s="38"/>
      <c r="H914" s="38"/>
      <c r="I914" s="38"/>
      <c r="K914" s="52"/>
      <c r="L914" s="38"/>
      <c r="M914" s="38"/>
      <c r="O914" s="27"/>
      <c r="Q914" s="27"/>
      <c r="U914" s="45" t="str">
        <f t="shared" si="27"/>
        <v/>
      </c>
    </row>
    <row r="915" spans="1:21" x14ac:dyDescent="0.25">
      <c r="A915" s="228"/>
      <c r="G915" s="38"/>
      <c r="H915" s="38"/>
      <c r="I915" s="38"/>
      <c r="K915" s="52"/>
      <c r="L915" s="38"/>
      <c r="M915" s="38"/>
      <c r="O915" s="27"/>
      <c r="Q915" s="27"/>
      <c r="U915" s="45" t="str">
        <f t="shared" si="27"/>
        <v/>
      </c>
    </row>
    <row r="916" spans="1:21" x14ac:dyDescent="0.25">
      <c r="A916" s="228"/>
      <c r="G916" s="38"/>
      <c r="H916" s="38"/>
      <c r="I916" s="38"/>
      <c r="K916" s="52"/>
      <c r="L916" s="38"/>
      <c r="M916" s="38"/>
      <c r="O916" s="27"/>
      <c r="Q916" s="27"/>
      <c r="U916" s="45" t="str">
        <f t="shared" si="27"/>
        <v/>
      </c>
    </row>
    <row r="917" spans="1:21" x14ac:dyDescent="0.25">
      <c r="A917" s="228"/>
      <c r="G917" s="38"/>
      <c r="H917" s="38"/>
      <c r="I917" s="38"/>
      <c r="K917" s="52"/>
      <c r="L917" s="38"/>
      <c r="M917" s="38"/>
      <c r="O917" s="27"/>
      <c r="Q917" s="27"/>
      <c r="U917" s="45" t="str">
        <f t="shared" si="27"/>
        <v/>
      </c>
    </row>
    <row r="918" spans="1:21" x14ac:dyDescent="0.25">
      <c r="A918" s="228"/>
      <c r="G918" s="38"/>
      <c r="H918" s="38"/>
      <c r="I918" s="38"/>
      <c r="K918" s="52"/>
      <c r="L918" s="38"/>
      <c r="M918" s="38"/>
      <c r="O918" s="27"/>
      <c r="Q918" s="27"/>
      <c r="U918" s="45" t="str">
        <f t="shared" si="27"/>
        <v/>
      </c>
    </row>
    <row r="919" spans="1:21" x14ac:dyDescent="0.25">
      <c r="A919" s="228"/>
      <c r="G919" s="38"/>
      <c r="H919" s="38"/>
      <c r="I919" s="38"/>
      <c r="K919" s="52"/>
      <c r="L919" s="38"/>
      <c r="M919" s="38"/>
      <c r="O919" s="27"/>
      <c r="Q919" s="27"/>
      <c r="U919" s="45" t="str">
        <f t="shared" si="27"/>
        <v/>
      </c>
    </row>
    <row r="920" spans="1:21" x14ac:dyDescent="0.25">
      <c r="A920" s="228"/>
      <c r="G920" s="38"/>
      <c r="H920" s="38"/>
      <c r="I920" s="38"/>
      <c r="K920" s="52"/>
      <c r="L920" s="38"/>
      <c r="M920" s="38"/>
      <c r="O920" s="27"/>
      <c r="Q920" s="27"/>
      <c r="U920" s="45" t="str">
        <f t="shared" si="27"/>
        <v/>
      </c>
    </row>
    <row r="921" spans="1:21" x14ac:dyDescent="0.25">
      <c r="A921" s="228"/>
      <c r="G921" s="38"/>
      <c r="H921" s="38"/>
      <c r="I921" s="38"/>
      <c r="K921" s="52"/>
      <c r="L921" s="38"/>
      <c r="M921" s="38"/>
      <c r="O921" s="27"/>
      <c r="Q921" s="27"/>
      <c r="U921" s="45" t="str">
        <f t="shared" si="27"/>
        <v/>
      </c>
    </row>
    <row r="922" spans="1:21" x14ac:dyDescent="0.25">
      <c r="A922" s="228"/>
      <c r="G922" s="38"/>
      <c r="H922" s="38"/>
      <c r="I922" s="38"/>
      <c r="K922" s="52"/>
      <c r="L922" s="38"/>
      <c r="M922" s="38"/>
      <c r="O922" s="27"/>
      <c r="Q922" s="27"/>
      <c r="U922" s="45" t="str">
        <f t="shared" si="27"/>
        <v/>
      </c>
    </row>
    <row r="923" spans="1:21" x14ac:dyDescent="0.25">
      <c r="A923" s="228"/>
      <c r="G923" s="38"/>
      <c r="H923" s="38"/>
      <c r="I923" s="38"/>
      <c r="K923" s="52"/>
      <c r="L923" s="38"/>
      <c r="M923" s="38"/>
      <c r="O923" s="27"/>
      <c r="Q923" s="27"/>
      <c r="U923" s="45" t="str">
        <f t="shared" si="27"/>
        <v/>
      </c>
    </row>
    <row r="924" spans="1:21" x14ac:dyDescent="0.25">
      <c r="A924" s="228"/>
      <c r="G924" s="38"/>
      <c r="H924" s="38"/>
      <c r="I924" s="38"/>
      <c r="K924" s="52"/>
      <c r="L924" s="38"/>
      <c r="M924" s="38"/>
      <c r="O924" s="27"/>
      <c r="Q924" s="27"/>
      <c r="U924" s="45" t="str">
        <f t="shared" si="27"/>
        <v/>
      </c>
    </row>
    <row r="925" spans="1:21" x14ac:dyDescent="0.25">
      <c r="A925" s="228"/>
      <c r="G925" s="38"/>
      <c r="H925" s="38"/>
      <c r="I925" s="38"/>
      <c r="K925" s="52"/>
      <c r="L925" s="38"/>
      <c r="M925" s="38"/>
      <c r="O925" s="27"/>
      <c r="Q925" s="27"/>
      <c r="U925" s="45" t="str">
        <f t="shared" si="27"/>
        <v/>
      </c>
    </row>
    <row r="926" spans="1:21" x14ac:dyDescent="0.25">
      <c r="A926" s="228"/>
      <c r="G926" s="38"/>
      <c r="H926" s="38"/>
      <c r="I926" s="38"/>
      <c r="K926" s="52"/>
      <c r="L926" s="38"/>
      <c r="M926" s="38"/>
      <c r="O926" s="27"/>
      <c r="Q926" s="27"/>
      <c r="U926" s="45" t="str">
        <f t="shared" si="27"/>
        <v/>
      </c>
    </row>
    <row r="927" spans="1:21" x14ac:dyDescent="0.25">
      <c r="A927" s="228"/>
      <c r="G927" s="38"/>
      <c r="H927" s="38"/>
      <c r="I927" s="38"/>
      <c r="K927" s="52"/>
      <c r="L927" s="38"/>
      <c r="M927" s="38"/>
      <c r="O927" s="27"/>
      <c r="Q927" s="27"/>
      <c r="U927" s="45" t="str">
        <f t="shared" si="27"/>
        <v/>
      </c>
    </row>
    <row r="928" spans="1:21" x14ac:dyDescent="0.25">
      <c r="A928" s="228"/>
      <c r="G928" s="38"/>
      <c r="H928" s="38"/>
      <c r="I928" s="38"/>
      <c r="K928" s="52"/>
      <c r="L928" s="38"/>
      <c r="M928" s="38"/>
      <c r="O928" s="27"/>
      <c r="Q928" s="27"/>
      <c r="U928" s="45" t="str">
        <f t="shared" si="27"/>
        <v/>
      </c>
    </row>
    <row r="929" spans="1:21" x14ac:dyDescent="0.25">
      <c r="A929" s="228"/>
      <c r="G929" s="38"/>
      <c r="H929" s="38"/>
      <c r="I929" s="38"/>
      <c r="K929" s="52"/>
      <c r="L929" s="38"/>
      <c r="M929" s="38"/>
      <c r="O929" s="27"/>
      <c r="Q929" s="27"/>
      <c r="U929" s="45" t="str">
        <f t="shared" si="27"/>
        <v/>
      </c>
    </row>
    <row r="930" spans="1:21" x14ac:dyDescent="0.25">
      <c r="A930" s="228"/>
      <c r="G930" s="38"/>
      <c r="H930" s="38"/>
      <c r="I930" s="38"/>
      <c r="K930" s="52"/>
      <c r="L930" s="38"/>
      <c r="M930" s="38"/>
      <c r="O930" s="27"/>
      <c r="Q930" s="27"/>
      <c r="U930" s="45" t="str">
        <f t="shared" si="27"/>
        <v/>
      </c>
    </row>
    <row r="931" spans="1:21" x14ac:dyDescent="0.25">
      <c r="A931" s="228"/>
      <c r="G931" s="38"/>
      <c r="H931" s="38"/>
      <c r="I931" s="38"/>
      <c r="K931" s="52"/>
      <c r="L931" s="38"/>
      <c r="M931" s="38"/>
      <c r="O931" s="27"/>
      <c r="Q931" s="27"/>
      <c r="U931" s="45" t="str">
        <f t="shared" si="27"/>
        <v/>
      </c>
    </row>
    <row r="932" spans="1:21" x14ac:dyDescent="0.25">
      <c r="A932" s="228"/>
      <c r="G932" s="38"/>
      <c r="H932" s="38"/>
      <c r="I932" s="38"/>
      <c r="K932" s="52"/>
      <c r="L932" s="38"/>
      <c r="M932" s="38"/>
      <c r="O932" s="27"/>
      <c r="Q932" s="27"/>
      <c r="U932" s="45" t="str">
        <f t="shared" si="27"/>
        <v/>
      </c>
    </row>
    <row r="933" spans="1:21" x14ac:dyDescent="0.25">
      <c r="A933" s="228"/>
      <c r="G933" s="38"/>
      <c r="H933" s="38"/>
      <c r="I933" s="38"/>
      <c r="K933" s="52"/>
      <c r="L933" s="38"/>
      <c r="M933" s="38"/>
      <c r="O933" s="27"/>
      <c r="Q933" s="27"/>
      <c r="U933" s="45" t="str">
        <f t="shared" si="27"/>
        <v/>
      </c>
    </row>
    <row r="934" spans="1:21" x14ac:dyDescent="0.25">
      <c r="A934" s="228"/>
      <c r="G934" s="38"/>
      <c r="H934" s="38"/>
      <c r="I934" s="38"/>
      <c r="K934" s="52"/>
      <c r="L934" s="38"/>
      <c r="M934" s="38"/>
      <c r="O934" s="27"/>
      <c r="Q934" s="27"/>
      <c r="U934" s="45" t="str">
        <f t="shared" si="27"/>
        <v/>
      </c>
    </row>
    <row r="935" spans="1:21" x14ac:dyDescent="0.25">
      <c r="A935" s="228"/>
      <c r="G935" s="38"/>
      <c r="H935" s="38"/>
      <c r="I935" s="38"/>
      <c r="K935" s="52"/>
      <c r="L935" s="38"/>
      <c r="M935" s="38"/>
      <c r="O935" s="27"/>
      <c r="Q935" s="27"/>
      <c r="U935" s="45" t="str">
        <f t="shared" si="27"/>
        <v/>
      </c>
    </row>
    <row r="936" spans="1:21" x14ac:dyDescent="0.25">
      <c r="A936" s="228"/>
      <c r="G936" s="38"/>
      <c r="H936" s="38"/>
      <c r="I936" s="38"/>
      <c r="K936" s="52"/>
      <c r="L936" s="38"/>
      <c r="M936" s="38"/>
      <c r="O936" s="27"/>
      <c r="Q936" s="27"/>
      <c r="U936" s="45" t="str">
        <f t="shared" si="27"/>
        <v/>
      </c>
    </row>
    <row r="937" spans="1:21" x14ac:dyDescent="0.25">
      <c r="A937" s="228"/>
      <c r="G937" s="38"/>
      <c r="H937" s="38"/>
      <c r="I937" s="38"/>
      <c r="K937" s="52"/>
      <c r="L937" s="38"/>
      <c r="M937" s="38"/>
      <c r="O937" s="27"/>
      <c r="Q937" s="27"/>
      <c r="U937" s="45" t="str">
        <f t="shared" si="27"/>
        <v/>
      </c>
    </row>
    <row r="938" spans="1:21" x14ac:dyDescent="0.25">
      <c r="A938" s="228"/>
      <c r="G938" s="38"/>
      <c r="H938" s="38"/>
      <c r="I938" s="38"/>
      <c r="K938" s="52"/>
      <c r="L938" s="38"/>
      <c r="M938" s="38"/>
      <c r="O938" s="27"/>
      <c r="Q938" s="27"/>
      <c r="U938" s="45" t="str">
        <f t="shared" ref="U938:U945" si="28">IF(O938&lt;&gt;"",O938*3.28,"")</f>
        <v/>
      </c>
    </row>
    <row r="939" spans="1:21" x14ac:dyDescent="0.25">
      <c r="A939" s="228"/>
      <c r="G939" s="38"/>
      <c r="H939" s="38"/>
      <c r="I939" s="38"/>
      <c r="K939" s="52"/>
      <c r="L939" s="38"/>
      <c r="M939" s="38"/>
      <c r="O939" s="27"/>
      <c r="Q939" s="27"/>
      <c r="U939" s="45" t="str">
        <f t="shared" si="28"/>
        <v/>
      </c>
    </row>
    <row r="940" spans="1:21" x14ac:dyDescent="0.25">
      <c r="A940" s="228"/>
      <c r="G940" s="38"/>
      <c r="H940" s="38"/>
      <c r="I940" s="38"/>
      <c r="K940" s="52"/>
      <c r="L940" s="38"/>
      <c r="M940" s="38"/>
      <c r="O940" s="27"/>
      <c r="Q940" s="27"/>
      <c r="U940" s="45" t="str">
        <f t="shared" si="28"/>
        <v/>
      </c>
    </row>
    <row r="941" spans="1:21" x14ac:dyDescent="0.25">
      <c r="A941" s="228"/>
      <c r="G941" s="38"/>
      <c r="H941" s="38"/>
      <c r="I941" s="38"/>
      <c r="K941" s="52"/>
      <c r="L941" s="38"/>
      <c r="M941" s="38"/>
      <c r="O941" s="27"/>
      <c r="Q941" s="27"/>
      <c r="U941" s="45" t="str">
        <f t="shared" si="28"/>
        <v/>
      </c>
    </row>
    <row r="942" spans="1:21" x14ac:dyDescent="0.25">
      <c r="A942" s="228"/>
      <c r="G942" s="38"/>
      <c r="H942" s="38"/>
      <c r="I942" s="38"/>
      <c r="K942" s="52"/>
      <c r="L942" s="38"/>
      <c r="M942" s="38"/>
      <c r="O942" s="27"/>
      <c r="Q942" s="27"/>
      <c r="U942" s="45" t="str">
        <f t="shared" si="28"/>
        <v/>
      </c>
    </row>
    <row r="943" spans="1:21" x14ac:dyDescent="0.25">
      <c r="A943" s="228"/>
      <c r="G943" s="38"/>
      <c r="H943" s="38"/>
      <c r="I943" s="38"/>
      <c r="K943" s="52"/>
      <c r="L943" s="38"/>
      <c r="M943" s="38"/>
      <c r="O943" s="27"/>
      <c r="Q943" s="27"/>
      <c r="U943" s="45" t="str">
        <f t="shared" si="28"/>
        <v/>
      </c>
    </row>
    <row r="944" spans="1:21" x14ac:dyDescent="0.25">
      <c r="A944" s="228"/>
      <c r="G944" s="38"/>
      <c r="H944" s="38"/>
      <c r="I944" s="38"/>
      <c r="K944" s="52"/>
      <c r="L944" s="38"/>
      <c r="M944" s="38"/>
      <c r="O944" s="27"/>
      <c r="Q944" s="27"/>
      <c r="U944" s="45" t="str">
        <f t="shared" si="28"/>
        <v/>
      </c>
    </row>
    <row r="945" spans="1:21" x14ac:dyDescent="0.25">
      <c r="A945" s="228"/>
      <c r="G945" s="38"/>
      <c r="H945" s="38"/>
      <c r="I945" s="38"/>
      <c r="K945" s="52"/>
      <c r="L945" s="38"/>
      <c r="M945" s="38"/>
      <c r="O945" s="27"/>
      <c r="Q945" s="27"/>
      <c r="U945" s="45" t="str">
        <f t="shared" si="28"/>
        <v/>
      </c>
    </row>
    <row r="946" spans="1:21" x14ac:dyDescent="0.25">
      <c r="A946" s="228"/>
      <c r="G946" s="38"/>
      <c r="H946" s="38"/>
      <c r="I946" s="38"/>
      <c r="K946" s="52"/>
      <c r="L946" s="38"/>
      <c r="M946" s="38"/>
      <c r="O946" s="27"/>
      <c r="Q946" s="27"/>
      <c r="U946" s="279"/>
    </row>
    <row r="947" spans="1:21" x14ac:dyDescent="0.25">
      <c r="A947" s="228"/>
      <c r="G947" s="38"/>
      <c r="H947" s="38"/>
      <c r="I947" s="38"/>
      <c r="K947" s="52"/>
      <c r="L947" s="38"/>
      <c r="M947" s="38"/>
      <c r="O947" s="27"/>
      <c r="Q947" s="27"/>
      <c r="U947" s="279"/>
    </row>
    <row r="948" spans="1:21" x14ac:dyDescent="0.25">
      <c r="A948" s="228"/>
      <c r="G948" s="38"/>
      <c r="H948" s="38"/>
      <c r="I948" s="38"/>
      <c r="K948" s="52"/>
      <c r="L948" s="38"/>
      <c r="M948" s="38"/>
      <c r="O948" s="27"/>
      <c r="Q948" s="27"/>
      <c r="U948" s="279"/>
    </row>
    <row r="949" spans="1:21" x14ac:dyDescent="0.25">
      <c r="A949" s="228"/>
      <c r="G949" s="38"/>
      <c r="H949" s="38"/>
      <c r="I949" s="38"/>
      <c r="K949" s="52"/>
      <c r="L949" s="38"/>
      <c r="M949" s="38"/>
      <c r="O949" s="27"/>
      <c r="Q949" s="27"/>
      <c r="U949" s="279"/>
    </row>
    <row r="950" spans="1:21" x14ac:dyDescent="0.25">
      <c r="A950" s="228"/>
      <c r="G950" s="38"/>
      <c r="H950" s="38"/>
      <c r="I950" s="38"/>
      <c r="K950" s="52"/>
      <c r="L950" s="38"/>
      <c r="M950" s="38"/>
      <c r="O950" s="27"/>
      <c r="Q950" s="27"/>
      <c r="U950" s="279"/>
    </row>
    <row r="951" spans="1:21" x14ac:dyDescent="0.25">
      <c r="A951" s="228"/>
      <c r="G951" s="38"/>
      <c r="H951" s="38"/>
      <c r="I951" s="38"/>
      <c r="K951" s="52"/>
      <c r="L951" s="38"/>
      <c r="M951" s="38"/>
      <c r="O951" s="27"/>
      <c r="Q951" s="27"/>
      <c r="U951" s="279"/>
    </row>
    <row r="952" spans="1:21" x14ac:dyDescent="0.25">
      <c r="A952" s="228"/>
      <c r="G952" s="38"/>
      <c r="H952" s="38"/>
      <c r="I952" s="38"/>
      <c r="K952" s="52"/>
      <c r="L952" s="38"/>
      <c r="M952" s="38"/>
      <c r="O952" s="27"/>
      <c r="Q952" s="27"/>
      <c r="U952" s="279"/>
    </row>
    <row r="953" spans="1:21" x14ac:dyDescent="0.25">
      <c r="A953" s="228"/>
      <c r="G953" s="38"/>
      <c r="H953" s="38"/>
      <c r="I953" s="38"/>
      <c r="K953" s="52"/>
      <c r="L953" s="38"/>
      <c r="M953" s="38"/>
      <c r="O953" s="27"/>
      <c r="Q953" s="27"/>
      <c r="U953" s="279"/>
    </row>
    <row r="954" spans="1:21" x14ac:dyDescent="0.25">
      <c r="A954" s="228"/>
      <c r="G954" s="38"/>
      <c r="H954" s="38"/>
      <c r="I954" s="38"/>
      <c r="K954" s="52"/>
      <c r="L954" s="38"/>
      <c r="M954" s="38"/>
      <c r="O954" s="27"/>
      <c r="Q954" s="27"/>
      <c r="U954" s="279"/>
    </row>
    <row r="955" spans="1:21" x14ac:dyDescent="0.25">
      <c r="A955" s="228"/>
      <c r="G955" s="38"/>
      <c r="H955" s="38"/>
      <c r="I955" s="38"/>
      <c r="K955" s="52"/>
      <c r="L955" s="38"/>
      <c r="M955" s="38"/>
      <c r="O955" s="27"/>
      <c r="Q955" s="27"/>
      <c r="U955" s="279"/>
    </row>
    <row r="956" spans="1:21" x14ac:dyDescent="0.25">
      <c r="A956" s="228"/>
      <c r="G956" s="38"/>
      <c r="H956" s="38"/>
      <c r="I956" s="38"/>
      <c r="K956" s="52"/>
      <c r="L956" s="38"/>
      <c r="M956" s="38"/>
      <c r="O956" s="27"/>
      <c r="Q956" s="27"/>
      <c r="U956" s="279"/>
    </row>
    <row r="957" spans="1:21" x14ac:dyDescent="0.25">
      <c r="A957" s="228"/>
      <c r="G957" s="38"/>
      <c r="H957" s="38"/>
      <c r="I957" s="38"/>
      <c r="K957" s="52"/>
      <c r="L957" s="38"/>
      <c r="M957" s="38"/>
      <c r="O957" s="27"/>
      <c r="Q957" s="27"/>
      <c r="U957" s="279"/>
    </row>
    <row r="958" spans="1:21" x14ac:dyDescent="0.25">
      <c r="A958" s="228"/>
      <c r="G958" s="38"/>
      <c r="H958" s="38"/>
      <c r="I958" s="38"/>
      <c r="K958" s="52"/>
      <c r="L958" s="38"/>
      <c r="M958" s="38"/>
      <c r="O958" s="27"/>
      <c r="Q958" s="27"/>
      <c r="U958" s="279"/>
    </row>
    <row r="959" spans="1:21" x14ac:dyDescent="0.25">
      <c r="A959" s="228"/>
      <c r="G959" s="38"/>
      <c r="H959" s="38"/>
      <c r="I959" s="38"/>
      <c r="K959" s="52"/>
      <c r="L959" s="38"/>
      <c r="M959" s="38"/>
      <c r="O959" s="27"/>
      <c r="Q959" s="27"/>
      <c r="U959" s="279"/>
    </row>
    <row r="960" spans="1:21" x14ac:dyDescent="0.25">
      <c r="A960" s="228"/>
      <c r="G960" s="38"/>
      <c r="H960" s="38"/>
      <c r="I960" s="38"/>
      <c r="K960" s="52"/>
      <c r="L960" s="38"/>
      <c r="M960" s="38"/>
      <c r="O960" s="27"/>
      <c r="Q960" s="27"/>
      <c r="U960" s="279"/>
    </row>
    <row r="961" spans="1:21" x14ac:dyDescent="0.25">
      <c r="A961" s="228"/>
      <c r="G961" s="38"/>
      <c r="H961" s="38"/>
      <c r="I961" s="38"/>
      <c r="K961" s="52"/>
      <c r="L961" s="38"/>
      <c r="M961" s="38"/>
      <c r="O961" s="27"/>
      <c r="Q961" s="27"/>
      <c r="U961" s="279"/>
    </row>
    <row r="962" spans="1:21" x14ac:dyDescent="0.25">
      <c r="A962" s="228"/>
      <c r="G962" s="38"/>
      <c r="H962" s="38"/>
      <c r="I962" s="38"/>
      <c r="K962" s="52"/>
      <c r="L962" s="38"/>
      <c r="M962" s="38"/>
      <c r="O962" s="27"/>
      <c r="Q962" s="27"/>
      <c r="U962" s="279"/>
    </row>
    <row r="963" spans="1:21" x14ac:dyDescent="0.25">
      <c r="A963" s="228"/>
      <c r="G963" s="38"/>
      <c r="H963" s="38"/>
      <c r="I963" s="38"/>
      <c r="K963" s="52"/>
      <c r="L963" s="38"/>
      <c r="M963" s="38"/>
      <c r="O963" s="27"/>
      <c r="Q963" s="27"/>
      <c r="U963" s="279"/>
    </row>
    <row r="964" spans="1:21" x14ac:dyDescent="0.25">
      <c r="A964" s="228"/>
      <c r="G964" s="38"/>
      <c r="H964" s="38"/>
      <c r="I964" s="38"/>
      <c r="K964" s="52"/>
      <c r="L964" s="38"/>
      <c r="M964" s="38"/>
      <c r="O964" s="27"/>
      <c r="Q964" s="27"/>
      <c r="U964" s="279"/>
    </row>
    <row r="965" spans="1:21" x14ac:dyDescent="0.25">
      <c r="A965" s="228"/>
      <c r="G965" s="38"/>
      <c r="H965" s="38"/>
      <c r="I965" s="38"/>
      <c r="K965" s="52"/>
      <c r="L965" s="38"/>
      <c r="M965" s="38"/>
      <c r="O965" s="27"/>
      <c r="Q965" s="27"/>
      <c r="U965" s="279"/>
    </row>
    <row r="966" spans="1:21" x14ac:dyDescent="0.25">
      <c r="A966" s="228"/>
      <c r="G966" s="38"/>
      <c r="H966" s="38"/>
      <c r="I966" s="38"/>
      <c r="K966" s="52"/>
      <c r="L966" s="38"/>
      <c r="M966" s="38"/>
      <c r="O966" s="27"/>
      <c r="Q966" s="27"/>
      <c r="U966" s="279"/>
    </row>
    <row r="967" spans="1:21" x14ac:dyDescent="0.25">
      <c r="A967" s="228"/>
      <c r="G967" s="38"/>
      <c r="H967" s="38"/>
      <c r="I967" s="38"/>
      <c r="K967" s="52"/>
      <c r="L967" s="38"/>
      <c r="M967" s="38"/>
      <c r="O967" s="27"/>
      <c r="Q967" s="27"/>
      <c r="U967" s="279"/>
    </row>
    <row r="968" spans="1:21" x14ac:dyDescent="0.25">
      <c r="A968" s="228"/>
      <c r="G968" s="38"/>
      <c r="H968" s="38"/>
      <c r="I968" s="38"/>
      <c r="K968" s="52"/>
      <c r="L968" s="38"/>
      <c r="M968" s="38"/>
      <c r="O968" s="27"/>
      <c r="Q968" s="27"/>
      <c r="U968" s="279"/>
    </row>
    <row r="969" spans="1:21" x14ac:dyDescent="0.25">
      <c r="A969" s="228"/>
      <c r="G969" s="38"/>
      <c r="H969" s="38"/>
      <c r="I969" s="38"/>
      <c r="K969" s="52"/>
      <c r="L969" s="38"/>
      <c r="M969" s="38"/>
      <c r="O969" s="27"/>
      <c r="Q969" s="27"/>
      <c r="U969" s="279"/>
    </row>
    <row r="970" spans="1:21" x14ac:dyDescent="0.25">
      <c r="A970" s="228"/>
      <c r="G970" s="38"/>
      <c r="H970" s="38"/>
      <c r="I970" s="38"/>
      <c r="K970" s="52"/>
      <c r="L970" s="38"/>
      <c r="M970" s="38"/>
      <c r="O970" s="27"/>
      <c r="Q970" s="27"/>
      <c r="U970" s="279"/>
    </row>
    <row r="971" spans="1:21" x14ac:dyDescent="0.25">
      <c r="A971" s="228"/>
      <c r="G971" s="38"/>
      <c r="H971" s="38"/>
      <c r="I971" s="38"/>
      <c r="K971" s="52"/>
      <c r="L971" s="38"/>
      <c r="M971" s="38"/>
      <c r="O971" s="27"/>
      <c r="Q971" s="27"/>
      <c r="U971" s="279"/>
    </row>
    <row r="972" spans="1:21" x14ac:dyDescent="0.25">
      <c r="A972" s="228"/>
      <c r="G972" s="38"/>
      <c r="H972" s="38"/>
      <c r="I972" s="38"/>
      <c r="K972" s="52"/>
      <c r="L972" s="38"/>
      <c r="M972" s="38"/>
      <c r="O972" s="27"/>
      <c r="Q972" s="27"/>
      <c r="U972" s="279"/>
    </row>
    <row r="973" spans="1:21" x14ac:dyDescent="0.25">
      <c r="A973" s="228"/>
      <c r="G973" s="38"/>
      <c r="H973" s="38"/>
      <c r="I973" s="38"/>
      <c r="K973" s="52"/>
      <c r="L973" s="38"/>
      <c r="M973" s="38"/>
      <c r="O973" s="27"/>
      <c r="Q973" s="27"/>
      <c r="U973" s="279"/>
    </row>
    <row r="974" spans="1:21" x14ac:dyDescent="0.25">
      <c r="A974" s="228"/>
      <c r="G974" s="38"/>
      <c r="H974" s="38"/>
      <c r="I974" s="38"/>
      <c r="K974" s="52"/>
      <c r="L974" s="38"/>
      <c r="M974" s="38"/>
      <c r="O974" s="27"/>
      <c r="Q974" s="27"/>
      <c r="U974" s="279"/>
    </row>
    <row r="975" spans="1:21" x14ac:dyDescent="0.25">
      <c r="A975" s="228"/>
      <c r="G975" s="38"/>
      <c r="H975" s="38"/>
      <c r="I975" s="38"/>
      <c r="K975" s="52"/>
      <c r="L975" s="38"/>
      <c r="M975" s="38"/>
      <c r="O975" s="27"/>
      <c r="Q975" s="27"/>
      <c r="U975" s="279"/>
    </row>
    <row r="976" spans="1:21" x14ac:dyDescent="0.25">
      <c r="A976" s="228"/>
      <c r="G976" s="38"/>
      <c r="H976" s="38"/>
      <c r="I976" s="38"/>
      <c r="K976" s="52"/>
      <c r="L976" s="38"/>
      <c r="M976" s="38"/>
      <c r="O976" s="27"/>
      <c r="Q976" s="27"/>
      <c r="U976" s="279"/>
    </row>
    <row r="977" spans="1:21" x14ac:dyDescent="0.25">
      <c r="A977" s="228"/>
      <c r="G977" s="38"/>
      <c r="H977" s="38"/>
      <c r="I977" s="38"/>
      <c r="K977" s="52"/>
      <c r="L977" s="38"/>
      <c r="M977" s="38"/>
      <c r="O977" s="27"/>
      <c r="Q977" s="27"/>
      <c r="U977" s="279"/>
    </row>
    <row r="978" spans="1:21" x14ac:dyDescent="0.25">
      <c r="A978" s="228"/>
      <c r="G978" s="38"/>
      <c r="H978" s="38"/>
      <c r="I978" s="38"/>
      <c r="K978" s="52"/>
      <c r="L978" s="38"/>
      <c r="M978" s="38"/>
      <c r="O978" s="27"/>
      <c r="Q978" s="27"/>
      <c r="U978" s="279"/>
    </row>
    <row r="979" spans="1:21" x14ac:dyDescent="0.25">
      <c r="A979" s="228"/>
      <c r="G979" s="38"/>
      <c r="H979" s="38"/>
      <c r="I979" s="38"/>
      <c r="K979" s="52"/>
      <c r="L979" s="38"/>
      <c r="M979" s="38"/>
      <c r="O979" s="27"/>
      <c r="Q979" s="27"/>
      <c r="U979" s="279"/>
    </row>
    <row r="980" spans="1:21" x14ac:dyDescent="0.25">
      <c r="A980" s="228"/>
      <c r="G980" s="38"/>
      <c r="H980" s="38"/>
      <c r="I980" s="38"/>
      <c r="K980" s="52"/>
      <c r="L980" s="38"/>
      <c r="M980" s="38"/>
      <c r="O980" s="27"/>
      <c r="Q980" s="27"/>
      <c r="U980" s="279"/>
    </row>
    <row r="981" spans="1:21" x14ac:dyDescent="0.25">
      <c r="A981" s="228"/>
      <c r="G981" s="38"/>
      <c r="H981" s="38"/>
      <c r="I981" s="38"/>
      <c r="K981" s="52"/>
      <c r="L981" s="38"/>
      <c r="M981" s="38"/>
      <c r="O981" s="27"/>
      <c r="Q981" s="27"/>
      <c r="U981" s="279"/>
    </row>
    <row r="982" spans="1:21" x14ac:dyDescent="0.25">
      <c r="A982" s="228"/>
      <c r="G982" s="38"/>
      <c r="H982" s="38"/>
      <c r="I982" s="38"/>
      <c r="K982" s="52"/>
      <c r="L982" s="38"/>
      <c r="M982" s="38"/>
      <c r="O982" s="27"/>
      <c r="Q982" s="27"/>
      <c r="U982" s="279"/>
    </row>
    <row r="983" spans="1:21" x14ac:dyDescent="0.25">
      <c r="A983" s="228"/>
      <c r="G983" s="38"/>
      <c r="H983" s="38"/>
      <c r="I983" s="38"/>
      <c r="K983" s="52"/>
      <c r="L983" s="38"/>
      <c r="M983" s="38"/>
      <c r="O983" s="27"/>
      <c r="Q983" s="27"/>
      <c r="U983" s="279"/>
    </row>
    <row r="984" spans="1:21" x14ac:dyDescent="0.25">
      <c r="A984" s="228"/>
      <c r="G984" s="38"/>
      <c r="H984" s="38"/>
      <c r="I984" s="38"/>
      <c r="K984" s="52"/>
      <c r="L984" s="38"/>
      <c r="M984" s="38"/>
      <c r="O984" s="27"/>
      <c r="Q984" s="27"/>
      <c r="U984" s="279"/>
    </row>
    <row r="985" spans="1:21" x14ac:dyDescent="0.25">
      <c r="A985" s="228"/>
      <c r="G985" s="38"/>
      <c r="H985" s="38"/>
      <c r="I985" s="38"/>
      <c r="K985" s="52"/>
      <c r="L985" s="38"/>
      <c r="M985" s="38"/>
      <c r="O985" s="27"/>
      <c r="Q985" s="27"/>
      <c r="U985" s="279"/>
    </row>
    <row r="986" spans="1:21" x14ac:dyDescent="0.25">
      <c r="A986" s="228"/>
      <c r="G986" s="38"/>
      <c r="H986" s="38"/>
      <c r="I986" s="38"/>
      <c r="K986" s="52"/>
      <c r="L986" s="38"/>
      <c r="M986" s="38"/>
      <c r="O986" s="27"/>
      <c r="Q986" s="27"/>
      <c r="U986" s="279"/>
    </row>
    <row r="987" spans="1:21" x14ac:dyDescent="0.25">
      <c r="A987" s="228"/>
      <c r="G987" s="38"/>
      <c r="H987" s="38"/>
      <c r="I987" s="38"/>
      <c r="K987" s="52"/>
      <c r="L987" s="38"/>
      <c r="M987" s="38"/>
      <c r="O987" s="27"/>
      <c r="Q987" s="27"/>
      <c r="U987" s="279"/>
    </row>
    <row r="988" spans="1:21" x14ac:dyDescent="0.25">
      <c r="A988" s="228"/>
      <c r="G988" s="38"/>
      <c r="H988" s="38"/>
      <c r="I988" s="38"/>
      <c r="K988" s="52"/>
      <c r="L988" s="38"/>
      <c r="M988" s="38"/>
      <c r="O988" s="27"/>
      <c r="Q988" s="27"/>
      <c r="U988" s="279"/>
    </row>
    <row r="989" spans="1:21" x14ac:dyDescent="0.25">
      <c r="A989" s="228"/>
      <c r="G989" s="38"/>
      <c r="H989" s="38"/>
      <c r="I989" s="38"/>
      <c r="K989" s="52"/>
      <c r="L989" s="38"/>
      <c r="M989" s="38"/>
      <c r="O989" s="27"/>
      <c r="Q989" s="27"/>
      <c r="U989" s="279"/>
    </row>
    <row r="990" spans="1:21" x14ac:dyDescent="0.25">
      <c r="A990" s="228"/>
      <c r="G990" s="38"/>
      <c r="H990" s="38"/>
      <c r="I990" s="38"/>
      <c r="K990" s="52"/>
      <c r="L990" s="38"/>
      <c r="M990" s="38"/>
      <c r="O990" s="27"/>
      <c r="Q990" s="27"/>
      <c r="U990" s="279"/>
    </row>
    <row r="991" spans="1:21" x14ac:dyDescent="0.25">
      <c r="A991" s="228"/>
      <c r="G991" s="38"/>
      <c r="H991" s="38"/>
      <c r="I991" s="38"/>
      <c r="K991" s="52"/>
      <c r="L991" s="38"/>
      <c r="M991" s="38"/>
      <c r="O991" s="27"/>
      <c r="Q991" s="27"/>
      <c r="U991" s="279"/>
    </row>
    <row r="992" spans="1:21" x14ac:dyDescent="0.25">
      <c r="A992" s="228"/>
      <c r="G992" s="38"/>
      <c r="H992" s="38"/>
      <c r="I992" s="38"/>
      <c r="K992" s="52"/>
      <c r="L992" s="38"/>
      <c r="M992" s="38"/>
      <c r="O992" s="27"/>
      <c r="Q992" s="27"/>
      <c r="U992" s="279"/>
    </row>
    <row r="993" spans="1:21" x14ac:dyDescent="0.25">
      <c r="A993" s="228"/>
      <c r="G993" s="38"/>
      <c r="H993" s="38"/>
      <c r="I993" s="38"/>
      <c r="K993" s="52"/>
      <c r="L993" s="38"/>
      <c r="M993" s="38"/>
      <c r="O993" s="27"/>
      <c r="Q993" s="27"/>
      <c r="U993" s="279"/>
    </row>
    <row r="994" spans="1:21" x14ac:dyDescent="0.25">
      <c r="A994" s="228"/>
      <c r="G994" s="38"/>
      <c r="H994" s="38"/>
      <c r="I994" s="38"/>
      <c r="K994" s="52"/>
      <c r="L994" s="38"/>
      <c r="M994" s="38"/>
      <c r="O994" s="27"/>
      <c r="Q994" s="27"/>
      <c r="U994" s="279"/>
    </row>
    <row r="995" spans="1:21" x14ac:dyDescent="0.25">
      <c r="A995" s="228"/>
      <c r="G995" s="38"/>
      <c r="H995" s="38"/>
      <c r="I995" s="38"/>
      <c r="K995" s="52"/>
      <c r="L995" s="38"/>
      <c r="M995" s="38"/>
      <c r="O995" s="27"/>
      <c r="Q995" s="27"/>
      <c r="U995" s="279"/>
    </row>
    <row r="996" spans="1:21" x14ac:dyDescent="0.25">
      <c r="A996" s="228"/>
      <c r="G996" s="38"/>
      <c r="H996" s="38"/>
      <c r="I996" s="38"/>
      <c r="K996" s="52"/>
      <c r="L996" s="38"/>
      <c r="M996" s="38"/>
      <c r="O996" s="27"/>
      <c r="Q996" s="27"/>
      <c r="U996" s="279"/>
    </row>
    <row r="997" spans="1:21" x14ac:dyDescent="0.25">
      <c r="A997" s="228"/>
      <c r="G997" s="38"/>
      <c r="H997" s="38"/>
      <c r="I997" s="38"/>
      <c r="K997" s="52"/>
      <c r="L997" s="38"/>
      <c r="M997" s="38"/>
      <c r="O997" s="27"/>
      <c r="Q997" s="27"/>
      <c r="U997" s="279"/>
    </row>
    <row r="998" spans="1:21" x14ac:dyDescent="0.25">
      <c r="A998" s="228"/>
      <c r="G998" s="38"/>
      <c r="H998" s="38"/>
      <c r="I998" s="38"/>
      <c r="K998" s="52"/>
      <c r="L998" s="38"/>
      <c r="M998" s="38"/>
      <c r="O998" s="27"/>
      <c r="Q998" s="27"/>
      <c r="U998" s="279"/>
    </row>
    <row r="999" spans="1:21" x14ac:dyDescent="0.25">
      <c r="A999" s="228"/>
      <c r="G999" s="38"/>
      <c r="H999" s="38"/>
      <c r="I999" s="38"/>
      <c r="K999" s="52"/>
      <c r="L999" s="38"/>
      <c r="M999" s="38"/>
      <c r="O999" s="27"/>
      <c r="Q999" s="27"/>
      <c r="U999" s="279"/>
    </row>
    <row r="1000" spans="1:21" x14ac:dyDescent="0.25">
      <c r="A1000" s="228"/>
      <c r="G1000" s="38"/>
      <c r="H1000" s="38"/>
      <c r="I1000" s="38"/>
      <c r="K1000" s="38"/>
      <c r="L1000" s="38"/>
      <c r="M1000" s="38"/>
      <c r="O1000" s="27"/>
      <c r="Q1000" s="27"/>
      <c r="U1000" s="279"/>
    </row>
    <row r="1001" spans="1:21" x14ac:dyDescent="0.25">
      <c r="A1001" s="228"/>
      <c r="G1001" s="38"/>
      <c r="H1001" s="38"/>
      <c r="I1001" s="38"/>
      <c r="K1001" s="38"/>
      <c r="L1001" s="38"/>
      <c r="M1001" s="38"/>
      <c r="O1001" s="27"/>
      <c r="Q1001" s="27"/>
      <c r="U1001" s="279"/>
    </row>
    <row r="1002" spans="1:21" x14ac:dyDescent="0.25">
      <c r="A1002" s="228"/>
      <c r="G1002" s="38"/>
      <c r="H1002" s="38"/>
      <c r="I1002" s="38"/>
      <c r="K1002" s="38"/>
      <c r="L1002" s="38"/>
      <c r="M1002" s="38"/>
      <c r="O1002" s="27"/>
      <c r="Q1002" s="27"/>
      <c r="U1002" s="279"/>
    </row>
    <row r="1003" spans="1:21" x14ac:dyDescent="0.25">
      <c r="A1003" s="228"/>
      <c r="G1003" s="38"/>
      <c r="H1003" s="38"/>
      <c r="I1003" s="38"/>
      <c r="K1003" s="38"/>
      <c r="L1003" s="38"/>
      <c r="M1003" s="38"/>
      <c r="O1003" s="27"/>
      <c r="Q1003" s="27"/>
      <c r="U1003" s="279"/>
    </row>
    <row r="1004" spans="1:21" x14ac:dyDescent="0.25">
      <c r="A1004" s="228"/>
      <c r="G1004" s="38"/>
      <c r="H1004" s="38"/>
      <c r="I1004" s="38"/>
      <c r="K1004" s="38"/>
      <c r="L1004" s="38"/>
      <c r="M1004" s="38"/>
      <c r="O1004" s="27"/>
      <c r="Q1004" s="27"/>
      <c r="U1004" s="279"/>
    </row>
    <row r="1005" spans="1:21" x14ac:dyDescent="0.25">
      <c r="A1005" s="228"/>
      <c r="G1005" s="38"/>
      <c r="H1005" s="38"/>
      <c r="I1005" s="38"/>
      <c r="K1005" s="38"/>
      <c r="L1005" s="38"/>
      <c r="M1005" s="38"/>
      <c r="O1005" s="27"/>
      <c r="Q1005" s="27"/>
      <c r="U1005" s="279"/>
    </row>
    <row r="1006" spans="1:21" x14ac:dyDescent="0.25">
      <c r="A1006" s="228"/>
      <c r="G1006" s="38"/>
      <c r="H1006" s="38"/>
      <c r="I1006" s="38"/>
      <c r="K1006" s="38"/>
      <c r="L1006" s="38"/>
      <c r="M1006" s="38"/>
      <c r="O1006" s="27"/>
      <c r="Q1006" s="27"/>
      <c r="U1006" s="279"/>
    </row>
    <row r="1007" spans="1:21" x14ac:dyDescent="0.25">
      <c r="A1007" s="228"/>
      <c r="G1007" s="38"/>
      <c r="H1007" s="38"/>
      <c r="I1007" s="38"/>
      <c r="K1007" s="38"/>
      <c r="L1007" s="38"/>
      <c r="M1007" s="38"/>
      <c r="O1007" s="27"/>
      <c r="Q1007" s="27"/>
      <c r="U1007" s="279"/>
    </row>
    <row r="1008" spans="1:21" x14ac:dyDescent="0.25">
      <c r="A1008" s="228"/>
      <c r="G1008" s="38"/>
      <c r="H1008" s="38"/>
      <c r="I1008" s="38"/>
      <c r="K1008" s="38"/>
      <c r="L1008" s="38"/>
      <c r="M1008" s="38"/>
      <c r="O1008" s="27"/>
      <c r="Q1008" s="27"/>
      <c r="U1008" s="279"/>
    </row>
    <row r="1009" spans="1:21" x14ac:dyDescent="0.25">
      <c r="A1009" s="228"/>
      <c r="G1009" s="38"/>
      <c r="H1009" s="38"/>
      <c r="I1009" s="38"/>
      <c r="K1009" s="38"/>
      <c r="L1009" s="38"/>
      <c r="M1009" s="38"/>
      <c r="O1009" s="27"/>
      <c r="Q1009" s="27"/>
      <c r="U1009" s="279"/>
    </row>
    <row r="1010" spans="1:21" x14ac:dyDescent="0.25">
      <c r="A1010" s="228"/>
      <c r="G1010" s="38"/>
      <c r="H1010" s="38"/>
      <c r="I1010" s="38"/>
      <c r="K1010" s="38"/>
      <c r="L1010" s="38"/>
      <c r="M1010" s="38"/>
      <c r="O1010" s="27"/>
      <c r="Q1010" s="27"/>
      <c r="U1010" s="279"/>
    </row>
    <row r="1011" spans="1:21" x14ac:dyDescent="0.25">
      <c r="A1011" s="228"/>
      <c r="Q1011" s="27"/>
      <c r="U1011" s="280"/>
    </row>
    <row r="1012" spans="1:21" x14ac:dyDescent="0.25">
      <c r="A1012" s="228"/>
      <c r="Q1012" s="27"/>
      <c r="U1012" s="280"/>
    </row>
    <row r="1013" spans="1:21" x14ac:dyDescent="0.25">
      <c r="A1013" s="228"/>
      <c r="Q1013" s="27"/>
      <c r="U1013" s="280"/>
    </row>
    <row r="1014" spans="1:21" x14ac:dyDescent="0.25">
      <c r="A1014" s="228"/>
      <c r="Q1014" s="27"/>
      <c r="U1014" s="280"/>
    </row>
    <row r="1015" spans="1:21" x14ac:dyDescent="0.25">
      <c r="A1015" s="228"/>
      <c r="Q1015" s="27"/>
      <c r="U1015" s="280"/>
    </row>
    <row r="1016" spans="1:21" x14ac:dyDescent="0.25">
      <c r="A1016" s="228"/>
      <c r="Q1016" s="27"/>
      <c r="U1016" s="280"/>
    </row>
    <row r="1017" spans="1:21" x14ac:dyDescent="0.25">
      <c r="A1017" s="228"/>
      <c r="Q1017" s="27"/>
      <c r="U1017" s="280"/>
    </row>
    <row r="1018" spans="1:21" x14ac:dyDescent="0.25">
      <c r="A1018" s="228"/>
      <c r="Q1018" s="27"/>
      <c r="U1018" s="280"/>
    </row>
    <row r="1019" spans="1:21" x14ac:dyDescent="0.25">
      <c r="A1019" s="228"/>
      <c r="Q1019" s="27"/>
      <c r="U1019" s="280"/>
    </row>
    <row r="1020" spans="1:21" x14ac:dyDescent="0.25">
      <c r="A1020" s="228"/>
      <c r="Q1020" s="27"/>
      <c r="U1020" s="280"/>
    </row>
    <row r="1021" spans="1:21" x14ac:dyDescent="0.25">
      <c r="A1021" s="228"/>
      <c r="Q1021" s="27"/>
      <c r="U1021" s="280"/>
    </row>
    <row r="1022" spans="1:21" x14ac:dyDescent="0.25">
      <c r="A1022" s="228"/>
      <c r="Q1022" s="27"/>
      <c r="U1022" s="280"/>
    </row>
    <row r="1023" spans="1:21" x14ac:dyDescent="0.25">
      <c r="A1023" s="228"/>
      <c r="Q1023" s="27"/>
      <c r="U1023" s="280"/>
    </row>
    <row r="1024" spans="1:21" x14ac:dyDescent="0.25">
      <c r="A1024" s="228"/>
      <c r="Q1024" s="27"/>
      <c r="U1024" s="280"/>
    </row>
    <row r="1025" spans="1:21" x14ac:dyDescent="0.25">
      <c r="A1025" s="228"/>
      <c r="Q1025" s="27"/>
      <c r="U1025" s="280"/>
    </row>
    <row r="1026" spans="1:21" x14ac:dyDescent="0.25">
      <c r="A1026" s="228"/>
      <c r="Q1026" s="27"/>
      <c r="U1026" s="280"/>
    </row>
    <row r="1027" spans="1:21" x14ac:dyDescent="0.25">
      <c r="A1027" s="228"/>
      <c r="Q1027" s="27"/>
      <c r="U1027" s="280"/>
    </row>
    <row r="1028" spans="1:21" x14ac:dyDescent="0.25">
      <c r="A1028" s="228"/>
      <c r="Q1028" s="27"/>
      <c r="U1028" s="280"/>
    </row>
    <row r="1029" spans="1:21" x14ac:dyDescent="0.25">
      <c r="A1029" s="228"/>
      <c r="Q1029" s="27"/>
      <c r="U1029" s="280"/>
    </row>
    <row r="1030" spans="1:21" x14ac:dyDescent="0.25">
      <c r="A1030" s="228"/>
      <c r="Q1030" s="27"/>
      <c r="U1030" s="280"/>
    </row>
    <row r="1031" spans="1:21" x14ac:dyDescent="0.25">
      <c r="A1031" s="228"/>
      <c r="Q1031" s="27"/>
      <c r="U1031" s="280"/>
    </row>
    <row r="1032" spans="1:21" x14ac:dyDescent="0.25">
      <c r="A1032" s="228"/>
      <c r="Q1032" s="27"/>
      <c r="U1032" s="280"/>
    </row>
    <row r="1033" spans="1:21" x14ac:dyDescent="0.25">
      <c r="A1033" s="228"/>
      <c r="Q1033" s="27"/>
      <c r="U1033" s="280"/>
    </row>
    <row r="1034" spans="1:21" x14ac:dyDescent="0.25">
      <c r="A1034" s="228"/>
      <c r="Q1034" s="27"/>
      <c r="U1034" s="280"/>
    </row>
    <row r="1035" spans="1:21" x14ac:dyDescent="0.25">
      <c r="A1035" s="228"/>
      <c r="Q1035" s="27"/>
      <c r="U1035" s="280"/>
    </row>
    <row r="1036" spans="1:21" x14ac:dyDescent="0.25">
      <c r="A1036" s="228"/>
      <c r="Q1036" s="27"/>
      <c r="U1036" s="280"/>
    </row>
    <row r="1037" spans="1:21" x14ac:dyDescent="0.25">
      <c r="A1037" s="228"/>
      <c r="Q1037" s="27"/>
      <c r="U1037" s="280"/>
    </row>
    <row r="1038" spans="1:21" x14ac:dyDescent="0.25">
      <c r="A1038" s="228"/>
      <c r="Q1038" s="27"/>
      <c r="U1038" s="280"/>
    </row>
    <row r="1039" spans="1:21" x14ac:dyDescent="0.25">
      <c r="A1039" s="228"/>
      <c r="Q1039" s="27"/>
      <c r="U1039" s="280"/>
    </row>
    <row r="1040" spans="1:21" x14ac:dyDescent="0.25">
      <c r="A1040" s="228"/>
      <c r="Q1040" s="27"/>
      <c r="U1040" s="280"/>
    </row>
    <row r="1041" spans="1:21" x14ac:dyDescent="0.25">
      <c r="A1041" s="228"/>
      <c r="Q1041" s="27"/>
      <c r="U1041" s="280"/>
    </row>
    <row r="1042" spans="1:21" x14ac:dyDescent="0.25">
      <c r="A1042" s="228"/>
      <c r="Q1042" s="27"/>
      <c r="U1042" s="280"/>
    </row>
    <row r="1043" spans="1:21" x14ac:dyDescent="0.25">
      <c r="A1043" s="228"/>
      <c r="U1043" s="280"/>
    </row>
    <row r="1044" spans="1:21" x14ac:dyDescent="0.25">
      <c r="A1044" s="228"/>
      <c r="U1044" s="280"/>
    </row>
    <row r="1045" spans="1:21" x14ac:dyDescent="0.25">
      <c r="A1045" s="228"/>
      <c r="U1045" s="280"/>
    </row>
    <row r="1046" spans="1:21" x14ac:dyDescent="0.25">
      <c r="A1046" s="228"/>
      <c r="U1046" s="280"/>
    </row>
    <row r="1047" spans="1:21" x14ac:dyDescent="0.25">
      <c r="A1047" s="228"/>
      <c r="U1047" s="280"/>
    </row>
    <row r="1048" spans="1:21" x14ac:dyDescent="0.25">
      <c r="A1048" s="228"/>
      <c r="U1048" s="280"/>
    </row>
    <row r="1049" spans="1:21" x14ac:dyDescent="0.25">
      <c r="A1049" s="228"/>
    </row>
    <row r="1050" spans="1:21" x14ac:dyDescent="0.25">
      <c r="A1050" s="228"/>
    </row>
    <row r="1051" spans="1:21" x14ac:dyDescent="0.25">
      <c r="A1051" s="228"/>
    </row>
    <row r="1052" spans="1:21" x14ac:dyDescent="0.25">
      <c r="A1052" s="228"/>
    </row>
    <row r="1053" spans="1:21" x14ac:dyDescent="0.25">
      <c r="A1053" s="228"/>
    </row>
    <row r="1054" spans="1:21" x14ac:dyDescent="0.25">
      <c r="A1054" s="228"/>
    </row>
    <row r="1055" spans="1:21" x14ac:dyDescent="0.25">
      <c r="A1055" s="228"/>
    </row>
    <row r="1056" spans="1:21" x14ac:dyDescent="0.25">
      <c r="A1056" s="228"/>
    </row>
    <row r="1057" spans="1:1" x14ac:dyDescent="0.25">
      <c r="A1057" s="228"/>
    </row>
    <row r="1058" spans="1:1" x14ac:dyDescent="0.25">
      <c r="A1058" s="228"/>
    </row>
    <row r="1059" spans="1:1" x14ac:dyDescent="0.25">
      <c r="A1059" s="228"/>
    </row>
    <row r="1060" spans="1:1" x14ac:dyDescent="0.25">
      <c r="A1060" s="228"/>
    </row>
    <row r="1061" spans="1:1" x14ac:dyDescent="0.25">
      <c r="A1061" s="228"/>
    </row>
    <row r="1062" spans="1:1" x14ac:dyDescent="0.25">
      <c r="A1062" s="228"/>
    </row>
    <row r="1063" spans="1:1" x14ac:dyDescent="0.25">
      <c r="A1063" s="228"/>
    </row>
    <row r="1064" spans="1:1" x14ac:dyDescent="0.25">
      <c r="A1064" s="228"/>
    </row>
    <row r="1065" spans="1:1" x14ac:dyDescent="0.25">
      <c r="A1065" s="228"/>
    </row>
    <row r="1066" spans="1:1" x14ac:dyDescent="0.25">
      <c r="A1066" s="228"/>
    </row>
    <row r="1067" spans="1:1" x14ac:dyDescent="0.25">
      <c r="A1067" s="228"/>
    </row>
    <row r="1068" spans="1:1" x14ac:dyDescent="0.25">
      <c r="A1068" s="228"/>
    </row>
    <row r="1069" spans="1:1" x14ac:dyDescent="0.25">
      <c r="A1069" s="228"/>
    </row>
    <row r="1070" spans="1:1" x14ac:dyDescent="0.25">
      <c r="A1070" s="228"/>
    </row>
    <row r="1071" spans="1:1" x14ac:dyDescent="0.25">
      <c r="A1071" s="228"/>
    </row>
    <row r="1072" spans="1:1" x14ac:dyDescent="0.25">
      <c r="A1072" s="228"/>
    </row>
    <row r="1073" spans="1:1" x14ac:dyDescent="0.25">
      <c r="A1073" s="228"/>
    </row>
    <row r="1074" spans="1:1" x14ac:dyDescent="0.25">
      <c r="A1074" s="228"/>
    </row>
    <row r="1075" spans="1:1" x14ac:dyDescent="0.25">
      <c r="A1075" s="228"/>
    </row>
    <row r="1076" spans="1:1" x14ac:dyDescent="0.25">
      <c r="A1076" s="228"/>
    </row>
    <row r="1077" spans="1:1" x14ac:dyDescent="0.25">
      <c r="A1077" s="228"/>
    </row>
    <row r="1078" spans="1:1" x14ac:dyDescent="0.25">
      <c r="A1078" s="228"/>
    </row>
    <row r="1079" spans="1:1" x14ac:dyDescent="0.25">
      <c r="A1079" s="228"/>
    </row>
    <row r="1080" spans="1:1" x14ac:dyDescent="0.25">
      <c r="A1080" s="228"/>
    </row>
    <row r="1081" spans="1:1" x14ac:dyDescent="0.25">
      <c r="A1081" s="228"/>
    </row>
    <row r="1082" spans="1:1" x14ac:dyDescent="0.25">
      <c r="A1082" s="228"/>
    </row>
    <row r="1083" spans="1:1" x14ac:dyDescent="0.25">
      <c r="A1083" s="228"/>
    </row>
    <row r="1084" spans="1:1" x14ac:dyDescent="0.25">
      <c r="A1084" s="228"/>
    </row>
    <row r="1085" spans="1:1" x14ac:dyDescent="0.25">
      <c r="A1085" s="228"/>
    </row>
    <row r="1086" spans="1:1" x14ac:dyDescent="0.25">
      <c r="A1086" s="228"/>
    </row>
    <row r="1087" spans="1:1" x14ac:dyDescent="0.25">
      <c r="A1087" s="228"/>
    </row>
    <row r="1088" spans="1:1" x14ac:dyDescent="0.25">
      <c r="A1088" s="228"/>
    </row>
    <row r="1089" spans="1:1" x14ac:dyDescent="0.25">
      <c r="A1089" s="228"/>
    </row>
    <row r="1090" spans="1:1" x14ac:dyDescent="0.25">
      <c r="A1090" s="228"/>
    </row>
    <row r="1091" spans="1:1" x14ac:dyDescent="0.25">
      <c r="A1091" s="228"/>
    </row>
    <row r="1092" spans="1:1" x14ac:dyDescent="0.25">
      <c r="A1092" s="228"/>
    </row>
    <row r="1093" spans="1:1" x14ac:dyDescent="0.25">
      <c r="A1093" s="228"/>
    </row>
    <row r="1094" spans="1:1" x14ac:dyDescent="0.25">
      <c r="A1094" s="228"/>
    </row>
    <row r="1095" spans="1:1" x14ac:dyDescent="0.25">
      <c r="A1095" s="228"/>
    </row>
    <row r="1096" spans="1:1" x14ac:dyDescent="0.25">
      <c r="A1096" s="228"/>
    </row>
    <row r="1097" spans="1:1" x14ac:dyDescent="0.25">
      <c r="A1097" s="228"/>
    </row>
    <row r="1098" spans="1:1" x14ac:dyDescent="0.25">
      <c r="A1098" s="228"/>
    </row>
    <row r="1099" spans="1:1" x14ac:dyDescent="0.25">
      <c r="A1099" s="228"/>
    </row>
    <row r="1100" spans="1:1" x14ac:dyDescent="0.25">
      <c r="A1100" s="228"/>
    </row>
    <row r="1101" spans="1:1" x14ac:dyDescent="0.25">
      <c r="A1101" s="228"/>
    </row>
    <row r="1102" spans="1:1" x14ac:dyDescent="0.25">
      <c r="A1102" s="228"/>
    </row>
    <row r="1103" spans="1:1" x14ac:dyDescent="0.25">
      <c r="A1103" s="228"/>
    </row>
    <row r="1104" spans="1:1" x14ac:dyDescent="0.25">
      <c r="A1104" s="228"/>
    </row>
    <row r="1105" spans="1:21" x14ac:dyDescent="0.25">
      <c r="A1105" s="228"/>
    </row>
    <row r="1106" spans="1:21" x14ac:dyDescent="0.25">
      <c r="A1106" s="228"/>
    </row>
    <row r="1107" spans="1:21" x14ac:dyDescent="0.25">
      <c r="A1107" s="228"/>
    </row>
    <row r="1108" spans="1:21" x14ac:dyDescent="0.25">
      <c r="A1108" s="228"/>
    </row>
    <row r="1109" spans="1:21" x14ac:dyDescent="0.25">
      <c r="A1109" s="228"/>
    </row>
    <row r="1110" spans="1:21" x14ac:dyDescent="0.25">
      <c r="A1110" s="228"/>
    </row>
    <row r="1111" spans="1:21" x14ac:dyDescent="0.25">
      <c r="A1111" s="228"/>
    </row>
    <row r="1112" spans="1:21" x14ac:dyDescent="0.25">
      <c r="A1112" s="228"/>
    </row>
    <row r="1113" spans="1:21" x14ac:dyDescent="0.25">
      <c r="A1113" s="228"/>
    </row>
    <row r="1114" spans="1:21" x14ac:dyDescent="0.25">
      <c r="A1114" s="228"/>
    </row>
    <row r="1115" spans="1:21" x14ac:dyDescent="0.25">
      <c r="A1115" s="228"/>
      <c r="B1115" s="5"/>
      <c r="C1115" s="4"/>
      <c r="D1115" s="5"/>
      <c r="E1115" s="4"/>
      <c r="F1115" s="4"/>
      <c r="G1115" s="5"/>
      <c r="H1115" s="4"/>
      <c r="I1115" s="4"/>
      <c r="J1115" s="5"/>
      <c r="K1115" s="4"/>
      <c r="L1115" s="4"/>
      <c r="M1115" s="4"/>
      <c r="N1115" s="5"/>
      <c r="O1115" s="4"/>
    </row>
    <row r="1116" spans="1:21" x14ac:dyDescent="0.25">
      <c r="A1116" s="228"/>
      <c r="P1116" s="5"/>
      <c r="Q1116" s="5"/>
      <c r="R1116" s="281"/>
      <c r="S1116" s="4"/>
      <c r="T1116" s="149"/>
      <c r="U1116" s="4"/>
    </row>
    <row r="1117" spans="1:21" x14ac:dyDescent="0.25">
      <c r="A1117" s="228"/>
      <c r="B1117" s="5"/>
      <c r="C1117" s="4"/>
      <c r="D1117" s="5"/>
      <c r="E1117" s="4"/>
      <c r="F1117" s="4"/>
      <c r="G1117" s="5"/>
      <c r="H1117" s="4"/>
      <c r="I1117" s="4"/>
      <c r="J1117" s="5"/>
      <c r="K1117" s="4"/>
      <c r="L1117" s="4"/>
      <c r="M1117" s="4"/>
      <c r="N1117" s="5"/>
      <c r="O1117" s="4"/>
      <c r="P1117" s="5"/>
      <c r="Q1117" s="5"/>
      <c r="R1117" s="281"/>
      <c r="S1117" s="4"/>
      <c r="T1117" s="149"/>
      <c r="U1117" s="4"/>
    </row>
    <row r="1118" spans="1:21" x14ac:dyDescent="0.25">
      <c r="A1118" s="228"/>
      <c r="P1118" s="5"/>
      <c r="Q1118" s="5"/>
      <c r="R1118" s="281"/>
      <c r="S1118" s="4"/>
      <c r="T1118" s="149"/>
      <c r="U1118" s="4"/>
    </row>
    <row r="1119" spans="1:21" x14ac:dyDescent="0.25">
      <c r="A1119" s="228"/>
      <c r="B1119" s="5"/>
      <c r="C1119" s="4"/>
      <c r="D1119" s="5"/>
      <c r="E1119" s="4"/>
      <c r="F1119" s="4"/>
      <c r="O1119" s="4"/>
    </row>
    <row r="1120" spans="1:21" x14ac:dyDescent="0.25">
      <c r="A1120" s="228"/>
    </row>
    <row r="1121" spans="1:15" x14ac:dyDescent="0.25">
      <c r="A1121" s="228"/>
    </row>
    <row r="1122" spans="1:15" x14ac:dyDescent="0.25">
      <c r="A1122" s="228"/>
    </row>
    <row r="1123" spans="1:15" x14ac:dyDescent="0.25">
      <c r="A1123" s="228"/>
    </row>
    <row r="1124" spans="1:15" x14ac:dyDescent="0.25">
      <c r="A1124" s="228"/>
      <c r="B1124" s="5"/>
      <c r="C1124" s="4"/>
      <c r="D1124" s="5"/>
      <c r="E1124" s="4"/>
      <c r="F1124" s="4"/>
      <c r="G1124" s="5"/>
      <c r="H1124" s="4"/>
      <c r="I1124" s="4"/>
      <c r="J1124" s="5"/>
      <c r="K1124" s="4"/>
      <c r="L1124" s="4"/>
      <c r="M1124" s="4"/>
      <c r="N1124" s="5"/>
      <c r="O1124" s="4"/>
    </row>
    <row r="1125" spans="1:15" x14ac:dyDescent="0.25">
      <c r="A1125" s="228"/>
    </row>
    <row r="1126" spans="1:15" x14ac:dyDescent="0.25">
      <c r="A1126" s="228"/>
    </row>
    <row r="1127" spans="1:15" x14ac:dyDescent="0.25">
      <c r="A1127" s="228"/>
    </row>
    <row r="1128" spans="1:15" x14ac:dyDescent="0.25">
      <c r="A1128" s="228"/>
    </row>
    <row r="1129" spans="1:15" x14ac:dyDescent="0.25">
      <c r="A1129" s="228"/>
      <c r="B1129" s="5"/>
      <c r="C1129" s="4"/>
      <c r="D1129" s="5"/>
      <c r="E1129" s="4"/>
      <c r="F1129" s="4"/>
      <c r="G1129" s="5"/>
      <c r="H1129" s="4"/>
      <c r="I1129" s="4"/>
      <c r="J1129" s="5"/>
      <c r="K1129" s="4"/>
      <c r="L1129" s="4"/>
      <c r="M1129" s="4"/>
      <c r="N1129" s="5"/>
      <c r="O1129" s="4"/>
    </row>
    <row r="1130" spans="1:15" x14ac:dyDescent="0.25">
      <c r="A1130" s="228"/>
      <c r="B1130" s="5"/>
      <c r="C1130" s="4"/>
      <c r="D1130" s="5"/>
      <c r="E1130" s="4"/>
      <c r="F1130" s="4"/>
      <c r="G1130" s="5"/>
      <c r="H1130" s="4"/>
      <c r="I1130" s="4"/>
      <c r="J1130" s="5"/>
      <c r="K1130" s="4"/>
      <c r="L1130" s="4"/>
      <c r="M1130" s="4"/>
      <c r="N1130" s="5"/>
      <c r="O1130" s="4"/>
    </row>
    <row r="1131" spans="1:15" x14ac:dyDescent="0.25">
      <c r="A1131" s="228"/>
      <c r="B1131" s="5"/>
      <c r="C1131" s="4"/>
      <c r="D1131" s="5"/>
      <c r="E1131" s="4"/>
      <c r="F1131" s="4"/>
      <c r="G1131" s="5"/>
      <c r="H1131" s="4"/>
      <c r="I1131" s="4"/>
      <c r="J1131" s="5"/>
      <c r="K1131" s="4"/>
      <c r="L1131" s="4"/>
      <c r="M1131" s="4"/>
      <c r="N1131" s="5"/>
      <c r="O1131" s="4"/>
    </row>
    <row r="1132" spans="1:15" x14ac:dyDescent="0.25">
      <c r="A1132" s="228"/>
    </row>
    <row r="1133" spans="1:15" x14ac:dyDescent="0.25">
      <c r="A1133" s="228"/>
    </row>
    <row r="1134" spans="1:15" x14ac:dyDescent="0.25">
      <c r="A1134" s="228"/>
      <c r="B1134" s="5"/>
      <c r="C1134" s="4"/>
      <c r="D1134" s="5"/>
      <c r="E1134" s="4"/>
      <c r="F1134" s="4"/>
      <c r="G1134" s="5"/>
      <c r="H1134" s="4"/>
      <c r="I1134" s="4"/>
      <c r="J1134" s="5"/>
      <c r="K1134" s="4"/>
      <c r="L1134" s="4"/>
      <c r="M1134" s="4"/>
      <c r="N1134" s="5"/>
      <c r="O1134" s="4"/>
    </row>
    <row r="1135" spans="1:15" x14ac:dyDescent="0.25">
      <c r="A1135" s="228"/>
      <c r="E1135" s="4"/>
      <c r="F1135" s="4"/>
    </row>
    <row r="1136" spans="1:15" x14ac:dyDescent="0.25">
      <c r="A1136" s="228"/>
      <c r="B1136" s="5"/>
      <c r="C1136" s="4"/>
      <c r="D1136" s="5"/>
      <c r="E1136" s="4"/>
      <c r="F1136" s="4"/>
      <c r="G1136" s="5"/>
      <c r="H1136" s="4"/>
      <c r="I1136" s="4"/>
      <c r="J1136" s="5"/>
      <c r="K1136" s="4"/>
      <c r="L1136" s="4"/>
      <c r="M1136" s="4"/>
      <c r="N1136" s="5"/>
      <c r="O1136" s="4"/>
    </row>
    <row r="1137" spans="1:15" x14ac:dyDescent="0.25">
      <c r="A1137" s="228"/>
    </row>
    <row r="1138" spans="1:15" x14ac:dyDescent="0.25">
      <c r="A1138" s="228"/>
    </row>
    <row r="1139" spans="1:15" x14ac:dyDescent="0.25">
      <c r="A1139" s="228"/>
    </row>
    <row r="1140" spans="1:15" x14ac:dyDescent="0.25">
      <c r="A1140" s="228"/>
    </row>
    <row r="1141" spans="1:15" x14ac:dyDescent="0.25">
      <c r="A1141" s="228"/>
      <c r="B1141" s="5"/>
      <c r="C1141" s="4"/>
      <c r="D1141" s="5"/>
      <c r="E1141" s="4"/>
      <c r="F1141" s="4"/>
      <c r="G1141" s="5"/>
      <c r="H1141" s="4"/>
      <c r="I1141" s="4"/>
      <c r="J1141" s="5"/>
      <c r="K1141" s="4"/>
      <c r="L1141" s="4"/>
      <c r="M1141" s="4"/>
      <c r="N1141" s="5"/>
      <c r="O1141" s="4"/>
    </row>
    <row r="1142" spans="1:15" x14ac:dyDescent="0.25">
      <c r="A1142" s="228"/>
    </row>
    <row r="1143" spans="1:15" x14ac:dyDescent="0.25">
      <c r="A1143" s="228"/>
    </row>
    <row r="1144" spans="1:15" x14ac:dyDescent="0.25">
      <c r="A1144" s="228"/>
      <c r="B1144" s="5"/>
      <c r="C1144" s="4"/>
      <c r="D1144" s="5"/>
      <c r="E1144" s="4"/>
      <c r="F1144" s="4"/>
      <c r="G1144" s="5"/>
      <c r="H1144" s="4"/>
      <c r="I1144" s="4"/>
      <c r="J1144" s="5"/>
      <c r="K1144" s="4"/>
      <c r="L1144" s="4"/>
      <c r="M1144" s="4"/>
      <c r="N1144" s="5"/>
      <c r="O1144" s="4"/>
    </row>
    <row r="1145" spans="1:15" x14ac:dyDescent="0.25">
      <c r="A1145" s="228"/>
      <c r="B1145" s="5"/>
      <c r="C1145" s="4"/>
      <c r="D1145" s="5"/>
      <c r="E1145" s="4"/>
      <c r="F1145" s="4"/>
      <c r="G1145" s="5"/>
      <c r="H1145" s="4"/>
      <c r="I1145" s="4"/>
      <c r="J1145" s="5"/>
      <c r="K1145" s="4"/>
      <c r="L1145" s="4"/>
      <c r="M1145" s="4"/>
      <c r="N1145" s="5"/>
      <c r="O1145" s="4"/>
    </row>
    <row r="1146" spans="1:15" x14ac:dyDescent="0.25">
      <c r="A1146" s="228"/>
    </row>
    <row r="1147" spans="1:15" x14ac:dyDescent="0.25">
      <c r="A1147" s="228"/>
      <c r="E1147" s="4"/>
      <c r="F1147" s="4"/>
      <c r="G1147" s="5"/>
      <c r="H1147" s="4"/>
      <c r="I1147" s="4"/>
      <c r="K1147" s="4"/>
      <c r="L1147" s="4"/>
      <c r="M1147" s="4"/>
      <c r="O1147" s="4"/>
    </row>
    <row r="1148" spans="1:15" x14ac:dyDescent="0.25">
      <c r="A1148" s="228"/>
      <c r="B1148" s="5"/>
      <c r="C1148" s="4"/>
      <c r="D1148" s="5"/>
      <c r="E1148" s="4"/>
      <c r="F1148" s="4"/>
      <c r="G1148" s="5"/>
      <c r="H1148" s="4"/>
      <c r="I1148" s="4"/>
      <c r="J1148" s="5"/>
      <c r="K1148" s="4"/>
      <c r="L1148" s="4"/>
      <c r="M1148" s="4"/>
      <c r="N1148" s="5"/>
      <c r="O1148" s="4"/>
    </row>
    <row r="1149" spans="1:15" x14ac:dyDescent="0.25">
      <c r="A1149" s="228"/>
    </row>
    <row r="1150" spans="1:15" x14ac:dyDescent="0.25">
      <c r="A1150" s="228"/>
      <c r="B1150" s="5"/>
      <c r="C1150" s="4"/>
      <c r="D1150" s="5"/>
      <c r="E1150" s="4"/>
      <c r="F1150" s="4"/>
      <c r="G1150" s="5"/>
      <c r="H1150" s="4"/>
      <c r="I1150" s="4"/>
      <c r="J1150" s="5"/>
      <c r="K1150" s="4"/>
      <c r="L1150" s="4"/>
      <c r="M1150" s="4"/>
      <c r="N1150" s="5"/>
      <c r="O1150" s="4"/>
    </row>
    <row r="1151" spans="1:15" x14ac:dyDescent="0.25">
      <c r="A1151" s="228"/>
    </row>
    <row r="1152" spans="1:15" x14ac:dyDescent="0.25">
      <c r="A1152" s="228"/>
      <c r="B1152" s="5"/>
      <c r="C1152" s="4"/>
      <c r="D1152" s="5"/>
      <c r="E1152" s="4"/>
      <c r="F1152" s="4"/>
      <c r="G1152" s="5"/>
      <c r="H1152" s="4"/>
      <c r="I1152" s="4"/>
      <c r="J1152" s="5"/>
      <c r="K1152" s="4"/>
      <c r="L1152" s="4"/>
      <c r="M1152" s="4"/>
      <c r="N1152" s="5"/>
      <c r="O1152" s="4"/>
    </row>
    <row r="1153" spans="1:15" x14ac:dyDescent="0.25">
      <c r="A1153" s="228"/>
    </row>
    <row r="1154" spans="1:15" x14ac:dyDescent="0.25">
      <c r="A1154" s="228"/>
      <c r="B1154" s="5"/>
      <c r="C1154" s="4"/>
      <c r="D1154" s="5"/>
      <c r="E1154" s="4"/>
      <c r="F1154" s="4"/>
      <c r="G1154" s="5"/>
      <c r="H1154" s="4"/>
      <c r="I1154" s="4"/>
      <c r="J1154" s="5"/>
      <c r="K1154" s="4"/>
      <c r="L1154" s="4"/>
      <c r="M1154" s="4"/>
      <c r="N1154" s="5"/>
      <c r="O1154" s="4"/>
    </row>
    <row r="1155" spans="1:15" x14ac:dyDescent="0.25">
      <c r="A1155" s="228"/>
    </row>
    <row r="1156" spans="1:15" x14ac:dyDescent="0.25">
      <c r="A1156" s="228"/>
      <c r="B1156" s="5"/>
      <c r="C1156" s="4"/>
      <c r="D1156" s="5"/>
      <c r="E1156" s="4"/>
      <c r="F1156" s="4"/>
      <c r="G1156" s="5"/>
      <c r="H1156" s="4"/>
      <c r="I1156" s="4"/>
      <c r="J1156" s="5"/>
      <c r="K1156" s="4"/>
      <c r="L1156" s="4"/>
      <c r="M1156" s="4"/>
      <c r="N1156" s="5"/>
      <c r="O1156" s="4"/>
    </row>
    <row r="1157" spans="1:15" x14ac:dyDescent="0.25">
      <c r="A1157" s="228"/>
      <c r="B1157" s="5"/>
      <c r="C1157" s="4"/>
      <c r="D1157" s="5"/>
      <c r="E1157" s="4"/>
      <c r="F1157" s="4"/>
      <c r="G1157" s="5"/>
      <c r="H1157" s="4"/>
      <c r="I1157" s="4"/>
      <c r="J1157" s="5"/>
      <c r="K1157" s="4"/>
      <c r="L1157" s="4"/>
      <c r="M1157" s="4"/>
      <c r="N1157" s="5"/>
      <c r="O1157" s="4"/>
    </row>
    <row r="1158" spans="1:15" x14ac:dyDescent="0.25">
      <c r="A1158" s="228"/>
      <c r="G1158" s="5"/>
      <c r="H1158" s="4"/>
      <c r="I1158" s="4"/>
      <c r="J1158" s="5"/>
      <c r="K1158" s="4"/>
      <c r="L1158" s="4"/>
      <c r="M1158" s="4"/>
      <c r="N1158" s="5"/>
    </row>
    <row r="1159" spans="1:15" x14ac:dyDescent="0.25">
      <c r="A1159" s="228"/>
    </row>
    <row r="1160" spans="1:15" x14ac:dyDescent="0.25">
      <c r="A1160" s="228"/>
      <c r="B1160" s="5"/>
      <c r="D1160" s="5"/>
      <c r="E1160" s="4"/>
      <c r="F1160" s="4"/>
      <c r="G1160" s="5"/>
      <c r="H1160" s="4"/>
      <c r="I1160" s="4"/>
      <c r="J1160" s="5"/>
      <c r="K1160" s="4"/>
      <c r="L1160" s="4"/>
      <c r="M1160" s="4"/>
      <c r="N1160" s="5"/>
      <c r="O1160" s="4"/>
    </row>
    <row r="1161" spans="1:15" x14ac:dyDescent="0.25">
      <c r="A1161" s="228"/>
      <c r="B1161" s="5"/>
      <c r="C1161" s="4"/>
      <c r="D1161" s="5"/>
      <c r="E1161" s="4"/>
      <c r="F1161" s="4"/>
      <c r="G1161" s="5"/>
      <c r="H1161" s="4"/>
      <c r="I1161" s="4"/>
      <c r="J1161" s="5"/>
      <c r="K1161" s="4"/>
      <c r="L1161" s="4"/>
      <c r="M1161" s="4"/>
      <c r="N1161" s="5"/>
      <c r="O1161" s="4"/>
    </row>
    <row r="1162" spans="1:15" x14ac:dyDescent="0.25">
      <c r="A1162" s="228"/>
      <c r="C1162" s="4"/>
      <c r="F1162" s="4"/>
      <c r="J1162" s="5"/>
      <c r="N1162" s="5"/>
    </row>
    <row r="1163" spans="1:15" x14ac:dyDescent="0.25">
      <c r="A1163" s="228"/>
      <c r="F1163" s="4"/>
    </row>
    <row r="1164" spans="1:15" x14ac:dyDescent="0.25">
      <c r="A1164" s="228"/>
    </row>
    <row r="1165" spans="1:15" x14ac:dyDescent="0.25">
      <c r="A1165" s="228"/>
      <c r="C1165" s="4"/>
      <c r="D1165" s="5"/>
      <c r="E1165" s="4"/>
      <c r="F1165" s="4"/>
      <c r="G1165" s="5"/>
      <c r="H1165" s="4"/>
      <c r="I1165" s="4"/>
      <c r="K1165" s="4"/>
      <c r="L1165" s="4"/>
      <c r="M1165" s="4"/>
      <c r="O1165" s="4"/>
    </row>
    <row r="1166" spans="1:15" x14ac:dyDescent="0.25">
      <c r="A1166" s="228"/>
      <c r="B1166" s="5"/>
      <c r="C1166" s="4"/>
      <c r="D1166" s="5"/>
      <c r="E1166" s="4"/>
      <c r="F1166" s="4"/>
      <c r="G1166" s="5"/>
      <c r="H1166" s="4"/>
      <c r="I1166" s="4"/>
      <c r="J1166" s="5"/>
      <c r="K1166" s="4"/>
      <c r="L1166" s="4"/>
      <c r="M1166" s="4"/>
      <c r="N1166" s="5"/>
      <c r="O1166" s="4"/>
    </row>
    <row r="1167" spans="1:15" x14ac:dyDescent="0.25">
      <c r="A1167" s="228"/>
    </row>
    <row r="1168" spans="1:15" x14ac:dyDescent="0.25">
      <c r="A1168" s="228"/>
    </row>
    <row r="1169" spans="1:1" x14ac:dyDescent="0.25">
      <c r="A1169" s="228"/>
    </row>
    <row r="1170" spans="1:1" x14ac:dyDescent="0.25">
      <c r="A1170" s="228"/>
    </row>
    <row r="1171" spans="1:1" x14ac:dyDescent="0.25">
      <c r="A1171" s="228"/>
    </row>
    <row r="1172" spans="1:1" x14ac:dyDescent="0.25">
      <c r="A1172" s="228"/>
    </row>
    <row r="1173" spans="1:1" x14ac:dyDescent="0.25">
      <c r="A1173" s="228"/>
    </row>
    <row r="1174" spans="1:1" x14ac:dyDescent="0.25">
      <c r="A1174" s="228"/>
    </row>
    <row r="1175" spans="1:1" x14ac:dyDescent="0.25">
      <c r="A1175" s="228"/>
    </row>
    <row r="1176" spans="1:1" x14ac:dyDescent="0.25">
      <c r="A1176" s="228"/>
    </row>
    <row r="1177" spans="1:1" x14ac:dyDescent="0.25">
      <c r="A1177" s="228"/>
    </row>
    <row r="1178" spans="1:1" x14ac:dyDescent="0.25">
      <c r="A1178" s="228"/>
    </row>
    <row r="1179" spans="1:1" x14ac:dyDescent="0.25">
      <c r="A1179" s="228"/>
    </row>
    <row r="1180" spans="1:1" x14ac:dyDescent="0.25">
      <c r="A1180" s="228"/>
    </row>
    <row r="1181" spans="1:1" x14ac:dyDescent="0.25">
      <c r="A1181" s="228"/>
    </row>
    <row r="1182" spans="1:1" x14ac:dyDescent="0.25">
      <c r="A1182" s="228"/>
    </row>
    <row r="1183" spans="1:1" x14ac:dyDescent="0.25">
      <c r="A1183" s="228"/>
    </row>
    <row r="1184" spans="1:1" x14ac:dyDescent="0.25">
      <c r="A1184" s="228"/>
    </row>
    <row r="1185" spans="1:15" x14ac:dyDescent="0.25">
      <c r="A1185" s="228"/>
    </row>
    <row r="1186" spans="1:15" x14ac:dyDescent="0.25">
      <c r="A1186" s="228"/>
    </row>
    <row r="1187" spans="1:15" x14ac:dyDescent="0.25">
      <c r="A1187" s="228"/>
    </row>
    <row r="1188" spans="1:15" x14ac:dyDescent="0.25">
      <c r="A1188" s="228"/>
      <c r="B1188" s="5"/>
      <c r="C1188" s="4"/>
      <c r="D1188" s="5"/>
      <c r="E1188" s="4"/>
      <c r="F1188" s="4"/>
      <c r="G1188" s="5"/>
      <c r="H1188" s="4"/>
      <c r="I1188" s="4"/>
      <c r="J1188" s="5"/>
      <c r="K1188" s="4"/>
      <c r="L1188" s="4"/>
      <c r="M1188" s="4"/>
      <c r="N1188" s="5"/>
      <c r="O1188" s="4"/>
    </row>
    <row r="1189" spans="1:15" x14ac:dyDescent="0.25">
      <c r="A1189" s="228"/>
    </row>
    <row r="1190" spans="1:15" x14ac:dyDescent="0.25">
      <c r="A1190" s="228"/>
      <c r="D1190" s="5"/>
      <c r="E1190" s="4"/>
      <c r="F1190" s="4"/>
      <c r="G1190" s="5"/>
      <c r="H1190" s="4"/>
      <c r="I1190" s="4"/>
      <c r="K1190" s="4"/>
      <c r="L1190" s="4"/>
      <c r="M1190" s="4"/>
      <c r="O1190" s="4"/>
    </row>
    <row r="1191" spans="1:15" x14ac:dyDescent="0.25">
      <c r="A1191" s="228"/>
      <c r="J1191" s="5"/>
      <c r="N1191" s="5"/>
    </row>
    <row r="1192" spans="1:15" x14ac:dyDescent="0.25">
      <c r="A1192" s="228"/>
    </row>
    <row r="1193" spans="1:15" x14ac:dyDescent="0.25">
      <c r="A1193" s="228"/>
    </row>
    <row r="1194" spans="1:15" x14ac:dyDescent="0.25">
      <c r="A1194" s="228"/>
    </row>
    <row r="1195" spans="1:15" x14ac:dyDescent="0.25">
      <c r="A1195" s="228"/>
    </row>
    <row r="1196" spans="1:15" x14ac:dyDescent="0.25">
      <c r="A1196" s="228"/>
      <c r="B1196" s="5"/>
      <c r="C1196" s="4"/>
      <c r="D1196" s="5"/>
      <c r="E1196" s="4"/>
      <c r="F1196" s="4"/>
      <c r="G1196" s="5"/>
      <c r="H1196" s="4"/>
      <c r="I1196" s="4"/>
      <c r="J1196" s="5"/>
      <c r="K1196" s="4"/>
      <c r="L1196" s="4"/>
      <c r="M1196" s="4"/>
      <c r="N1196" s="5"/>
      <c r="O1196" s="4"/>
    </row>
    <row r="1197" spans="1:15" x14ac:dyDescent="0.25">
      <c r="A1197" s="228"/>
      <c r="B1197" s="5"/>
      <c r="C1197" s="4"/>
      <c r="D1197" s="5"/>
      <c r="E1197" s="4"/>
      <c r="F1197" s="4"/>
      <c r="G1197" s="5"/>
      <c r="H1197" s="4"/>
      <c r="I1197" s="4"/>
      <c r="J1197" s="5"/>
      <c r="K1197" s="4"/>
      <c r="L1197" s="4"/>
      <c r="M1197" s="4"/>
      <c r="N1197" s="5"/>
      <c r="O1197" s="4"/>
    </row>
    <row r="1198" spans="1:15" x14ac:dyDescent="0.25">
      <c r="A1198" s="228"/>
      <c r="B1198" s="5"/>
      <c r="C1198" s="4"/>
      <c r="D1198" s="5"/>
      <c r="E1198" s="4"/>
      <c r="F1198" s="4"/>
      <c r="G1198" s="5"/>
      <c r="H1198" s="4"/>
      <c r="I1198" s="4"/>
      <c r="J1198" s="5"/>
      <c r="K1198" s="4"/>
      <c r="L1198" s="4"/>
      <c r="M1198" s="4"/>
      <c r="N1198" s="5"/>
      <c r="O1198" s="4"/>
    </row>
    <row r="1199" spans="1:15" x14ac:dyDescent="0.25">
      <c r="A1199" s="228"/>
      <c r="B1199" s="5"/>
      <c r="C1199" s="4"/>
      <c r="D1199" s="5"/>
      <c r="E1199" s="4"/>
      <c r="F1199" s="4"/>
      <c r="G1199" s="5"/>
      <c r="H1199" s="4"/>
      <c r="I1199" s="4"/>
      <c r="J1199" s="5"/>
      <c r="K1199" s="4"/>
      <c r="L1199" s="4"/>
      <c r="M1199" s="4"/>
      <c r="N1199" s="5"/>
      <c r="O1199" s="4"/>
    </row>
    <row r="1200" spans="1:15" x14ac:dyDescent="0.25">
      <c r="A1200" s="228"/>
      <c r="B1200" s="5"/>
      <c r="C1200" s="4"/>
      <c r="D1200" s="5"/>
      <c r="E1200" s="4"/>
      <c r="F1200" s="4"/>
      <c r="G1200" s="5"/>
      <c r="H1200" s="4"/>
      <c r="I1200" s="4"/>
      <c r="J1200" s="5"/>
      <c r="K1200" s="4"/>
      <c r="L1200" s="4"/>
      <c r="M1200" s="4"/>
      <c r="N1200" s="5"/>
      <c r="O1200" s="4"/>
    </row>
    <row r="1201" spans="1:15" x14ac:dyDescent="0.25">
      <c r="A1201" s="228"/>
      <c r="C1201" s="4"/>
    </row>
    <row r="1202" spans="1:15" x14ac:dyDescent="0.25">
      <c r="A1202" s="228"/>
      <c r="D1202" s="5"/>
      <c r="E1202" s="4"/>
      <c r="F1202" s="4"/>
      <c r="G1202" s="5"/>
      <c r="H1202" s="4"/>
      <c r="I1202" s="4"/>
      <c r="K1202" s="4"/>
      <c r="L1202" s="4"/>
      <c r="M1202" s="4"/>
      <c r="O1202" s="4"/>
    </row>
    <row r="1203" spans="1:15" x14ac:dyDescent="0.25">
      <c r="A1203" s="228"/>
    </row>
    <row r="1204" spans="1:15" x14ac:dyDescent="0.25">
      <c r="A1204" s="228"/>
    </row>
    <row r="1205" spans="1:15" x14ac:dyDescent="0.25">
      <c r="A1205" s="228"/>
    </row>
    <row r="1206" spans="1:15" x14ac:dyDescent="0.25">
      <c r="A1206" s="228"/>
    </row>
    <row r="1207" spans="1:15" x14ac:dyDescent="0.25">
      <c r="A1207" s="228"/>
    </row>
    <row r="1208" spans="1:15" x14ac:dyDescent="0.25">
      <c r="A1208" s="228"/>
    </row>
    <row r="1209" spans="1:15" x14ac:dyDescent="0.25">
      <c r="A1209" s="228"/>
    </row>
    <row r="1210" spans="1:15" x14ac:dyDescent="0.25">
      <c r="A1210" s="228"/>
      <c r="D1210" s="5"/>
      <c r="E1210" s="4"/>
      <c r="F1210" s="4"/>
      <c r="G1210" s="5"/>
      <c r="H1210" s="4"/>
      <c r="I1210" s="4"/>
      <c r="J1210" s="5"/>
      <c r="K1210" s="4"/>
      <c r="L1210" s="4"/>
      <c r="M1210" s="4"/>
      <c r="N1210" s="5"/>
      <c r="O1210" s="4"/>
    </row>
    <row r="1211" spans="1:15" x14ac:dyDescent="0.25">
      <c r="A1211" s="228"/>
    </row>
    <row r="1212" spans="1:15" x14ac:dyDescent="0.25">
      <c r="A1212" s="228"/>
      <c r="B1212" s="5"/>
      <c r="C1212" s="4"/>
      <c r="D1212" s="5"/>
      <c r="E1212" s="4"/>
      <c r="F1212" s="4"/>
      <c r="G1212" s="5"/>
      <c r="H1212" s="4"/>
      <c r="I1212" s="4"/>
      <c r="J1212" s="5"/>
      <c r="K1212" s="4"/>
      <c r="L1212" s="4"/>
      <c r="M1212" s="4"/>
      <c r="N1212" s="5"/>
      <c r="O1212" s="4"/>
    </row>
    <row r="1213" spans="1:15" x14ac:dyDescent="0.25">
      <c r="A1213" s="228"/>
    </row>
    <row r="1214" spans="1:15" x14ac:dyDescent="0.25">
      <c r="A1214" s="228"/>
      <c r="B1214" s="5"/>
      <c r="C1214" s="4"/>
      <c r="D1214" s="5"/>
      <c r="E1214" s="4"/>
      <c r="F1214" s="4"/>
      <c r="G1214" s="5"/>
      <c r="H1214" s="4"/>
      <c r="I1214" s="4"/>
      <c r="J1214" s="5"/>
      <c r="K1214" s="4"/>
      <c r="L1214" s="4"/>
      <c r="M1214" s="4"/>
      <c r="N1214" s="5"/>
      <c r="O1214" s="4"/>
    </row>
    <row r="1215" spans="1:15" x14ac:dyDescent="0.25">
      <c r="A1215" s="228"/>
    </row>
    <row r="1216" spans="1:15" x14ac:dyDescent="0.25">
      <c r="A1216" s="228"/>
      <c r="B1216" s="5"/>
      <c r="C1216" s="4"/>
      <c r="D1216" s="5"/>
      <c r="E1216" s="4"/>
      <c r="F1216" s="4"/>
      <c r="G1216" s="5"/>
      <c r="H1216" s="4"/>
      <c r="I1216" s="4"/>
      <c r="J1216" s="5"/>
      <c r="K1216" s="4"/>
      <c r="L1216" s="4"/>
      <c r="M1216" s="4"/>
      <c r="N1216" s="5"/>
      <c r="O1216" s="4"/>
    </row>
    <row r="1217" spans="1:1" x14ac:dyDescent="0.25">
      <c r="A1217" s="228"/>
    </row>
    <row r="1218" spans="1:1" x14ac:dyDescent="0.25">
      <c r="A1218" s="228"/>
    </row>
    <row r="1219" spans="1:1" x14ac:dyDescent="0.25">
      <c r="A1219" s="228"/>
    </row>
    <row r="1220" spans="1:1" x14ac:dyDescent="0.25">
      <c r="A1220" s="228"/>
    </row>
    <row r="1221" spans="1:1" x14ac:dyDescent="0.25">
      <c r="A1221" s="228"/>
    </row>
    <row r="1222" spans="1:1" x14ac:dyDescent="0.25">
      <c r="A1222" s="228"/>
    </row>
    <row r="1223" spans="1:1" x14ac:dyDescent="0.25">
      <c r="A1223" s="228"/>
    </row>
    <row r="1224" spans="1:1" x14ac:dyDescent="0.25">
      <c r="A1224" s="228"/>
    </row>
    <row r="1225" spans="1:1" x14ac:dyDescent="0.25">
      <c r="A1225" s="228"/>
    </row>
    <row r="1226" spans="1:1" x14ac:dyDescent="0.25">
      <c r="A1226" s="228"/>
    </row>
    <row r="1227" spans="1:1" x14ac:dyDescent="0.25">
      <c r="A1227" s="228"/>
    </row>
    <row r="1228" spans="1:1" x14ac:dyDescent="0.25">
      <c r="A1228" s="228"/>
    </row>
    <row r="1229" spans="1:1" x14ac:dyDescent="0.25">
      <c r="A1229" s="228"/>
    </row>
    <row r="1230" spans="1:1" x14ac:dyDescent="0.25">
      <c r="A1230" s="228"/>
    </row>
    <row r="1231" spans="1:1" x14ac:dyDescent="0.25">
      <c r="A1231" s="228"/>
    </row>
    <row r="1232" spans="1:1" x14ac:dyDescent="0.25">
      <c r="A1232" s="228"/>
    </row>
    <row r="1233" spans="1:15" x14ac:dyDescent="0.25">
      <c r="A1233" s="228"/>
    </row>
    <row r="1234" spans="1:15" x14ac:dyDescent="0.25">
      <c r="A1234" s="228"/>
    </row>
    <row r="1235" spans="1:15" x14ac:dyDescent="0.25">
      <c r="A1235" s="228"/>
    </row>
    <row r="1236" spans="1:15" x14ac:dyDescent="0.25">
      <c r="A1236" s="228"/>
    </row>
    <row r="1237" spans="1:15" x14ac:dyDescent="0.25">
      <c r="A1237" s="228"/>
    </row>
    <row r="1238" spans="1:15" x14ac:dyDescent="0.25">
      <c r="A1238" s="228"/>
    </row>
    <row r="1239" spans="1:15" x14ac:dyDescent="0.25">
      <c r="A1239" s="228"/>
      <c r="B1239" s="5"/>
      <c r="C1239" s="4"/>
      <c r="D1239" s="5"/>
      <c r="E1239" s="4"/>
      <c r="F1239" s="4"/>
      <c r="G1239" s="5"/>
      <c r="H1239" s="4"/>
      <c r="I1239" s="4"/>
      <c r="J1239" s="5"/>
      <c r="K1239" s="4"/>
      <c r="L1239" s="4"/>
      <c r="M1239" s="4"/>
      <c r="N1239" s="5"/>
      <c r="O1239" s="4"/>
    </row>
    <row r="1240" spans="1:15" x14ac:dyDescent="0.25">
      <c r="A1240" s="228"/>
    </row>
    <row r="1241" spans="1:15" x14ac:dyDescent="0.25">
      <c r="A1241" s="228"/>
    </row>
    <row r="1242" spans="1:15" x14ac:dyDescent="0.25">
      <c r="A1242" s="228"/>
    </row>
    <row r="1243" spans="1:15" x14ac:dyDescent="0.25">
      <c r="A1243" s="228"/>
    </row>
    <row r="1244" spans="1:15" x14ac:dyDescent="0.25">
      <c r="A1244" s="228"/>
    </row>
    <row r="1245" spans="1:15" x14ac:dyDescent="0.25">
      <c r="A1245" s="228"/>
    </row>
    <row r="1246" spans="1:15" x14ac:dyDescent="0.25">
      <c r="A1246" s="228"/>
    </row>
    <row r="1247" spans="1:15" x14ac:dyDescent="0.25">
      <c r="A1247" s="228"/>
    </row>
    <row r="1248" spans="1:15" x14ac:dyDescent="0.25">
      <c r="A1248" s="228"/>
      <c r="B1248" s="5"/>
      <c r="D1248" s="5"/>
      <c r="E1248" s="4"/>
      <c r="F1248" s="4"/>
      <c r="G1248" s="5"/>
      <c r="H1248" s="4"/>
      <c r="I1248" s="4"/>
      <c r="J1248" s="5"/>
      <c r="K1248" s="4"/>
      <c r="L1248" s="4"/>
      <c r="M1248" s="4"/>
      <c r="N1248" s="5"/>
      <c r="O1248" s="4"/>
    </row>
    <row r="1249" spans="1:15" x14ac:dyDescent="0.25">
      <c r="A1249" s="228"/>
    </row>
    <row r="1250" spans="1:15" x14ac:dyDescent="0.25">
      <c r="A1250" s="228"/>
    </row>
    <row r="1251" spans="1:15" x14ac:dyDescent="0.25">
      <c r="A1251" s="228"/>
    </row>
    <row r="1252" spans="1:15" x14ac:dyDescent="0.25">
      <c r="A1252" s="228"/>
    </row>
    <row r="1253" spans="1:15" x14ac:dyDescent="0.25">
      <c r="A1253" s="228"/>
    </row>
    <row r="1254" spans="1:15" x14ac:dyDescent="0.25">
      <c r="A1254" s="228"/>
    </row>
    <row r="1255" spans="1:15" x14ac:dyDescent="0.25">
      <c r="A1255" s="228"/>
    </row>
    <row r="1256" spans="1:15" x14ac:dyDescent="0.25">
      <c r="A1256" s="228"/>
      <c r="B1256" s="5"/>
      <c r="C1256" s="4"/>
      <c r="E1256" s="4"/>
      <c r="F1256" s="4"/>
      <c r="G1256" s="5"/>
      <c r="H1256" s="4"/>
      <c r="I1256" s="4"/>
      <c r="J1256" s="5"/>
      <c r="K1256" s="4"/>
      <c r="L1256" s="4"/>
      <c r="M1256" s="4"/>
      <c r="N1256" s="5"/>
      <c r="O1256" s="4"/>
    </row>
    <row r="1257" spans="1:15" x14ac:dyDescent="0.25">
      <c r="A1257" s="228"/>
    </row>
    <row r="1258" spans="1:15" x14ac:dyDescent="0.25">
      <c r="A1258" s="228"/>
      <c r="B1258" s="5"/>
      <c r="C1258" s="4"/>
      <c r="D1258" s="5"/>
      <c r="E1258" s="4"/>
      <c r="F1258" s="4"/>
      <c r="G1258" s="5"/>
      <c r="H1258" s="4"/>
      <c r="I1258" s="4"/>
      <c r="J1258" s="5"/>
      <c r="K1258" s="4"/>
      <c r="L1258" s="4"/>
      <c r="M1258" s="4"/>
      <c r="N1258" s="5"/>
      <c r="O1258" s="4"/>
    </row>
    <row r="1259" spans="1:15" x14ac:dyDescent="0.25">
      <c r="A1259" s="228"/>
    </row>
    <row r="1260" spans="1:15" x14ac:dyDescent="0.25">
      <c r="A1260" s="228"/>
      <c r="B1260" s="5"/>
      <c r="C1260" s="4"/>
      <c r="D1260" s="5"/>
      <c r="E1260" s="4"/>
      <c r="F1260" s="4"/>
      <c r="G1260" s="5"/>
      <c r="H1260" s="4"/>
      <c r="I1260" s="4"/>
      <c r="J1260" s="5"/>
      <c r="K1260" s="4"/>
      <c r="L1260" s="4"/>
      <c r="M1260" s="4"/>
      <c r="N1260" s="5"/>
      <c r="O1260" s="4"/>
    </row>
    <row r="1261" spans="1:15" x14ac:dyDescent="0.25">
      <c r="A1261" s="228"/>
    </row>
    <row r="1262" spans="1:15" x14ac:dyDescent="0.25">
      <c r="A1262" s="228"/>
      <c r="F1262" s="4"/>
      <c r="J1262" s="5"/>
      <c r="N1262" s="5"/>
    </row>
    <row r="1263" spans="1:15" x14ac:dyDescent="0.25">
      <c r="A1263" s="228"/>
    </row>
    <row r="1264" spans="1:15" x14ac:dyDescent="0.25">
      <c r="A1264" s="228"/>
      <c r="B1264" s="5"/>
      <c r="C1264" s="4"/>
      <c r="D1264" s="5"/>
      <c r="E1264" s="4"/>
      <c r="F1264" s="4"/>
      <c r="G1264" s="5"/>
      <c r="H1264" s="4"/>
      <c r="I1264" s="4"/>
      <c r="J1264" s="5"/>
      <c r="K1264" s="4"/>
      <c r="L1264" s="4"/>
      <c r="M1264" s="4"/>
      <c r="N1264" s="5"/>
      <c r="O1264" s="4"/>
    </row>
    <row r="1265" spans="1:15" x14ac:dyDescent="0.25">
      <c r="A1265" s="228"/>
      <c r="E1265" s="4"/>
      <c r="F1265" s="4"/>
      <c r="G1265" s="5"/>
      <c r="H1265" s="4"/>
      <c r="I1265" s="4"/>
      <c r="J1265" s="5"/>
      <c r="K1265" s="4"/>
      <c r="L1265" s="4"/>
      <c r="M1265" s="4"/>
      <c r="N1265" s="5"/>
    </row>
    <row r="1266" spans="1:15" x14ac:dyDescent="0.25">
      <c r="A1266" s="228"/>
    </row>
    <row r="1267" spans="1:15" x14ac:dyDescent="0.25">
      <c r="A1267" s="228"/>
    </row>
    <row r="1268" spans="1:15" x14ac:dyDescent="0.25">
      <c r="A1268" s="228"/>
    </row>
    <row r="1269" spans="1:15" x14ac:dyDescent="0.25">
      <c r="A1269" s="228"/>
    </row>
    <row r="1270" spans="1:15" x14ac:dyDescent="0.25">
      <c r="A1270" s="228"/>
    </row>
    <row r="1271" spans="1:15" x14ac:dyDescent="0.25">
      <c r="A1271" s="228"/>
    </row>
    <row r="1272" spans="1:15" x14ac:dyDescent="0.25">
      <c r="A1272" s="228"/>
      <c r="C1272" s="4"/>
      <c r="J1272" s="5"/>
      <c r="N1272" s="5"/>
    </row>
    <row r="1273" spans="1:15" x14ac:dyDescent="0.25">
      <c r="A1273" s="228"/>
    </row>
    <row r="1274" spans="1:15" x14ac:dyDescent="0.25">
      <c r="A1274" s="228"/>
    </row>
    <row r="1275" spans="1:15" x14ac:dyDescent="0.25">
      <c r="A1275" s="228"/>
      <c r="B1275" s="5"/>
      <c r="C1275" s="4"/>
      <c r="D1275" s="5"/>
      <c r="E1275" s="4"/>
      <c r="F1275" s="4"/>
      <c r="G1275" s="5"/>
      <c r="H1275" s="4"/>
      <c r="I1275" s="4"/>
      <c r="J1275" s="5"/>
      <c r="K1275" s="4"/>
      <c r="L1275" s="4"/>
      <c r="M1275" s="4"/>
      <c r="N1275" s="5"/>
      <c r="O1275" s="4"/>
    </row>
    <row r="1276" spans="1:15" x14ac:dyDescent="0.25">
      <c r="A1276" s="228"/>
      <c r="B1276" s="5"/>
      <c r="C1276" s="4"/>
      <c r="D1276" s="5"/>
      <c r="E1276" s="4"/>
      <c r="F1276" s="4"/>
      <c r="G1276" s="5"/>
      <c r="H1276" s="4"/>
      <c r="I1276" s="4"/>
      <c r="J1276" s="5"/>
      <c r="K1276" s="4"/>
      <c r="L1276" s="4"/>
      <c r="M1276" s="4"/>
      <c r="N1276" s="5"/>
      <c r="O1276" s="4"/>
    </row>
    <row r="1277" spans="1:15" x14ac:dyDescent="0.25">
      <c r="A1277" s="228"/>
    </row>
    <row r="1278" spans="1:15" x14ac:dyDescent="0.25">
      <c r="A1278" s="228"/>
      <c r="B1278" s="5"/>
      <c r="C1278" s="4"/>
      <c r="D1278" s="5"/>
      <c r="E1278" s="4"/>
      <c r="F1278" s="4"/>
      <c r="G1278" s="5"/>
      <c r="H1278" s="4"/>
      <c r="I1278" s="4"/>
      <c r="J1278" s="5"/>
      <c r="K1278" s="4"/>
      <c r="L1278" s="4"/>
      <c r="M1278" s="4"/>
      <c r="N1278" s="5"/>
      <c r="O1278" s="4"/>
    </row>
    <row r="1279" spans="1:15" x14ac:dyDescent="0.25">
      <c r="A1279" s="228"/>
    </row>
    <row r="1280" spans="1:15" x14ac:dyDescent="0.25">
      <c r="A1280" s="228"/>
      <c r="C1280" s="4"/>
    </row>
    <row r="1281" spans="1:15" x14ac:dyDescent="0.25">
      <c r="A1281" s="228"/>
      <c r="B1281" s="5"/>
      <c r="C1281" s="4"/>
      <c r="D1281" s="5"/>
      <c r="E1281" s="4"/>
      <c r="F1281" s="4"/>
      <c r="G1281" s="5"/>
      <c r="H1281" s="4"/>
      <c r="I1281" s="4"/>
      <c r="J1281" s="5"/>
      <c r="K1281" s="4"/>
      <c r="L1281" s="4"/>
      <c r="M1281" s="4"/>
      <c r="N1281" s="5"/>
      <c r="O1281" s="4"/>
    </row>
    <row r="1282" spans="1:15" x14ac:dyDescent="0.25">
      <c r="A1282" s="228"/>
    </row>
    <row r="1283" spans="1:15" x14ac:dyDescent="0.25">
      <c r="A1283" s="228"/>
    </row>
    <row r="1284" spans="1:15" x14ac:dyDescent="0.25">
      <c r="A1284" s="228"/>
      <c r="B1284" s="5"/>
      <c r="C1284" s="4"/>
      <c r="D1284" s="5"/>
      <c r="E1284" s="4"/>
      <c r="F1284" s="4"/>
      <c r="G1284" s="5"/>
      <c r="H1284" s="4"/>
      <c r="I1284" s="4"/>
      <c r="J1284" s="5"/>
      <c r="K1284" s="4"/>
      <c r="L1284" s="4"/>
      <c r="M1284" s="4"/>
      <c r="N1284" s="5"/>
      <c r="O1284" s="4"/>
    </row>
    <row r="1285" spans="1:15" x14ac:dyDescent="0.25">
      <c r="A1285" s="228"/>
    </row>
    <row r="1286" spans="1:15" x14ac:dyDescent="0.25">
      <c r="A1286" s="228"/>
      <c r="C1286" s="4"/>
      <c r="J1286" s="5"/>
      <c r="N1286" s="5"/>
    </row>
    <row r="1287" spans="1:15" x14ac:dyDescent="0.25">
      <c r="A1287" s="228"/>
    </row>
    <row r="1288" spans="1:15" x14ac:dyDescent="0.25">
      <c r="A1288" s="228"/>
    </row>
    <row r="1289" spans="1:15" x14ac:dyDescent="0.25">
      <c r="A1289" s="228"/>
    </row>
    <row r="1290" spans="1:15" x14ac:dyDescent="0.25">
      <c r="A1290" s="228"/>
    </row>
    <row r="1291" spans="1:15" x14ac:dyDescent="0.25">
      <c r="A1291" s="228"/>
      <c r="B1291" s="5"/>
      <c r="C1291" s="4"/>
      <c r="J1291" s="5"/>
      <c r="N1291" s="5"/>
    </row>
    <row r="1292" spans="1:15" x14ac:dyDescent="0.25">
      <c r="A1292" s="228"/>
    </row>
    <row r="1293" spans="1:15" x14ac:dyDescent="0.25">
      <c r="A1293" s="228"/>
    </row>
    <row r="1294" spans="1:15" x14ac:dyDescent="0.25">
      <c r="A1294" s="228"/>
      <c r="B1294" s="5"/>
      <c r="C1294" s="4"/>
      <c r="D1294" s="5"/>
      <c r="E1294" s="4"/>
      <c r="F1294" s="4"/>
      <c r="G1294" s="5"/>
      <c r="H1294" s="4"/>
      <c r="I1294" s="4"/>
      <c r="J1294" s="5"/>
      <c r="K1294" s="4"/>
      <c r="L1294" s="4"/>
      <c r="M1294" s="4"/>
      <c r="N1294" s="5"/>
      <c r="O1294" s="4"/>
    </row>
    <row r="1295" spans="1:15" x14ac:dyDescent="0.25">
      <c r="A1295" s="228"/>
    </row>
    <row r="1296" spans="1:15" x14ac:dyDescent="0.25">
      <c r="A1296" s="228"/>
      <c r="B1296" s="5"/>
      <c r="C1296" s="4"/>
      <c r="D1296" s="5"/>
      <c r="E1296" s="4"/>
      <c r="F1296" s="4"/>
      <c r="G1296" s="5"/>
      <c r="H1296" s="4"/>
      <c r="I1296" s="4"/>
      <c r="J1296" s="5"/>
      <c r="K1296" s="4"/>
      <c r="L1296" s="4"/>
      <c r="M1296" s="4"/>
      <c r="N1296" s="5"/>
      <c r="O1296" s="4"/>
    </row>
    <row r="1297" spans="1:15" x14ac:dyDescent="0.25">
      <c r="A1297" s="228"/>
    </row>
    <row r="1298" spans="1:15" x14ac:dyDescent="0.25">
      <c r="A1298" s="228"/>
    </row>
    <row r="1299" spans="1:15" x14ac:dyDescent="0.25">
      <c r="A1299" s="228"/>
    </row>
    <row r="1300" spans="1:15" x14ac:dyDescent="0.25">
      <c r="A1300" s="228"/>
      <c r="B1300" s="5"/>
      <c r="C1300" s="4"/>
      <c r="D1300" s="5"/>
      <c r="E1300" s="4"/>
      <c r="F1300" s="4"/>
      <c r="G1300" s="5"/>
      <c r="H1300" s="4"/>
      <c r="I1300" s="4"/>
      <c r="J1300" s="5"/>
      <c r="K1300" s="4"/>
      <c r="L1300" s="4"/>
      <c r="M1300" s="4"/>
      <c r="N1300" s="5"/>
      <c r="O1300" s="4"/>
    </row>
    <row r="1301" spans="1:15" x14ac:dyDescent="0.25">
      <c r="A1301" s="228"/>
    </row>
    <row r="1302" spans="1:15" x14ac:dyDescent="0.25">
      <c r="A1302" s="228"/>
      <c r="B1302" s="5"/>
      <c r="C1302" s="4"/>
      <c r="D1302" s="5"/>
      <c r="E1302" s="4"/>
      <c r="F1302" s="4"/>
      <c r="G1302" s="5"/>
      <c r="H1302" s="4"/>
      <c r="I1302" s="4"/>
      <c r="J1302" s="5"/>
      <c r="K1302" s="4"/>
      <c r="L1302" s="4"/>
      <c r="M1302" s="4"/>
      <c r="N1302" s="5"/>
      <c r="O1302" s="4"/>
    </row>
    <row r="1303" spans="1:15" x14ac:dyDescent="0.25">
      <c r="A1303" s="228"/>
    </row>
    <row r="1304" spans="1:15" x14ac:dyDescent="0.25">
      <c r="A1304" s="228"/>
      <c r="B1304" s="5"/>
      <c r="C1304" s="4"/>
      <c r="D1304" s="5"/>
      <c r="E1304" s="4"/>
      <c r="F1304" s="4"/>
      <c r="G1304" s="5"/>
      <c r="H1304" s="4"/>
      <c r="I1304" s="4"/>
      <c r="J1304" s="5"/>
      <c r="K1304" s="4"/>
      <c r="L1304" s="4"/>
      <c r="M1304" s="4"/>
      <c r="N1304" s="5"/>
      <c r="O1304" s="4"/>
    </row>
    <row r="1305" spans="1:15" x14ac:dyDescent="0.25">
      <c r="A1305" s="228"/>
      <c r="B1305" s="5"/>
      <c r="C1305" s="4"/>
      <c r="D1305" s="5"/>
      <c r="E1305" s="4"/>
      <c r="F1305" s="4"/>
      <c r="G1305" s="5"/>
      <c r="H1305" s="4"/>
      <c r="I1305" s="4"/>
      <c r="J1305" s="5"/>
      <c r="K1305" s="4"/>
      <c r="L1305" s="4"/>
      <c r="M1305" s="4"/>
      <c r="N1305" s="5"/>
      <c r="O1305" s="4"/>
    </row>
    <row r="1306" spans="1:15" x14ac:dyDescent="0.25">
      <c r="A1306" s="228"/>
      <c r="B1306" s="5"/>
      <c r="C1306" s="4"/>
      <c r="D1306" s="5"/>
      <c r="E1306" s="4"/>
      <c r="F1306" s="4"/>
      <c r="G1306" s="5"/>
      <c r="H1306" s="4"/>
      <c r="I1306" s="4"/>
      <c r="J1306" s="5"/>
      <c r="K1306" s="4"/>
      <c r="L1306" s="4"/>
      <c r="M1306" s="4"/>
      <c r="N1306" s="5"/>
      <c r="O1306" s="4"/>
    </row>
    <row r="1307" spans="1:15" x14ac:dyDescent="0.25">
      <c r="A1307" s="228"/>
    </row>
    <row r="1308" spans="1:15" x14ac:dyDescent="0.25">
      <c r="A1308" s="228"/>
      <c r="B1308" s="5"/>
      <c r="C1308" s="4"/>
      <c r="D1308" s="5"/>
      <c r="E1308" s="4"/>
      <c r="F1308" s="4"/>
      <c r="G1308" s="5"/>
      <c r="H1308" s="4"/>
      <c r="I1308" s="4"/>
      <c r="K1308" s="4"/>
      <c r="L1308" s="4"/>
      <c r="M1308" s="4"/>
      <c r="O1308" s="4"/>
    </row>
    <row r="1309" spans="1:15" x14ac:dyDescent="0.25">
      <c r="A1309" s="228"/>
    </row>
    <row r="1310" spans="1:15" x14ac:dyDescent="0.25">
      <c r="A1310" s="228"/>
    </row>
    <row r="1311" spans="1:15" x14ac:dyDescent="0.25">
      <c r="A1311" s="228"/>
      <c r="B1311" s="5"/>
      <c r="C1311" s="4"/>
      <c r="D1311" s="5"/>
      <c r="E1311" s="4"/>
      <c r="F1311" s="4"/>
      <c r="G1311" s="5"/>
      <c r="H1311" s="4"/>
      <c r="I1311" s="4"/>
      <c r="J1311" s="5"/>
      <c r="K1311" s="4"/>
      <c r="L1311" s="4"/>
      <c r="M1311" s="4"/>
      <c r="N1311" s="5"/>
      <c r="O1311" s="4"/>
    </row>
    <row r="1312" spans="1:15" x14ac:dyDescent="0.25">
      <c r="A1312" s="228"/>
    </row>
    <row r="1313" spans="1:15" x14ac:dyDescent="0.25">
      <c r="A1313" s="228"/>
    </row>
    <row r="1314" spans="1:15" x14ac:dyDescent="0.25">
      <c r="A1314" s="228"/>
    </row>
    <row r="1315" spans="1:15" x14ac:dyDescent="0.25">
      <c r="A1315" s="228"/>
    </row>
    <row r="1316" spans="1:15" x14ac:dyDescent="0.25">
      <c r="A1316" s="228"/>
    </row>
    <row r="1317" spans="1:15" x14ac:dyDescent="0.25">
      <c r="A1317" s="228"/>
    </row>
    <row r="1318" spans="1:15" x14ac:dyDescent="0.25">
      <c r="A1318" s="228"/>
    </row>
    <row r="1319" spans="1:15" x14ac:dyDescent="0.25">
      <c r="A1319" s="228"/>
      <c r="B1319" s="5"/>
      <c r="C1319" s="4"/>
      <c r="D1319" s="5"/>
      <c r="E1319" s="4"/>
      <c r="F1319" s="4"/>
      <c r="G1319" s="5"/>
      <c r="H1319" s="4"/>
      <c r="I1319" s="4"/>
      <c r="J1319" s="5"/>
      <c r="K1319" s="4"/>
      <c r="L1319" s="4"/>
      <c r="M1319" s="4"/>
      <c r="N1319" s="5"/>
      <c r="O1319" s="4"/>
    </row>
    <row r="1320" spans="1:15" x14ac:dyDescent="0.25">
      <c r="A1320" s="228"/>
    </row>
    <row r="1321" spans="1:15" x14ac:dyDescent="0.25">
      <c r="A1321" s="228"/>
      <c r="B1321" s="5"/>
      <c r="C1321" s="4"/>
      <c r="D1321" s="5"/>
      <c r="E1321" s="4"/>
      <c r="F1321" s="4"/>
      <c r="G1321" s="5"/>
      <c r="H1321" s="4"/>
      <c r="I1321" s="4"/>
      <c r="J1321" s="5"/>
      <c r="K1321" s="4"/>
      <c r="L1321" s="4"/>
      <c r="M1321" s="4"/>
      <c r="N1321" s="5"/>
      <c r="O1321" s="4"/>
    </row>
    <row r="1322" spans="1:15" x14ac:dyDescent="0.25">
      <c r="A1322" s="228"/>
    </row>
    <row r="1323" spans="1:15" x14ac:dyDescent="0.25">
      <c r="A1323" s="228"/>
      <c r="B1323" s="5"/>
      <c r="C1323" s="4"/>
      <c r="D1323" s="5"/>
      <c r="E1323" s="4"/>
      <c r="F1323" s="4"/>
      <c r="G1323" s="5"/>
      <c r="H1323" s="4"/>
      <c r="I1323" s="4"/>
      <c r="J1323" s="5"/>
      <c r="K1323" s="4"/>
      <c r="L1323" s="4"/>
      <c r="M1323" s="4"/>
      <c r="N1323" s="5"/>
      <c r="O1323" s="4"/>
    </row>
    <row r="1324" spans="1:15" x14ac:dyDescent="0.25">
      <c r="A1324" s="228"/>
    </row>
    <row r="1325" spans="1:15" x14ac:dyDescent="0.25">
      <c r="A1325" s="228"/>
    </row>
    <row r="1326" spans="1:15" x14ac:dyDescent="0.25">
      <c r="A1326" s="228"/>
    </row>
    <row r="1327" spans="1:15" x14ac:dyDescent="0.25">
      <c r="A1327" s="228"/>
    </row>
    <row r="1328" spans="1:15" x14ac:dyDescent="0.25">
      <c r="A1328" s="228"/>
    </row>
    <row r="1329" spans="1:15" x14ac:dyDescent="0.25">
      <c r="A1329" s="228"/>
      <c r="B1329" s="5"/>
      <c r="C1329" s="4"/>
      <c r="D1329" s="5"/>
      <c r="E1329" s="4"/>
      <c r="F1329" s="4"/>
      <c r="G1329" s="5"/>
      <c r="H1329" s="4"/>
      <c r="I1329" s="4"/>
      <c r="J1329" s="5"/>
      <c r="K1329" s="4"/>
      <c r="L1329" s="4"/>
      <c r="M1329" s="4"/>
      <c r="N1329" s="5"/>
      <c r="O1329" s="4"/>
    </row>
    <row r="1330" spans="1:15" x14ac:dyDescent="0.25">
      <c r="A1330" s="228"/>
    </row>
    <row r="1331" spans="1:15" x14ac:dyDescent="0.25">
      <c r="A1331" s="228"/>
      <c r="B1331" s="5"/>
      <c r="C1331" s="4"/>
      <c r="D1331" s="5"/>
      <c r="E1331" s="4"/>
      <c r="F1331" s="4"/>
      <c r="G1331" s="5"/>
      <c r="H1331" s="4"/>
      <c r="I1331" s="4"/>
      <c r="J1331" s="5"/>
      <c r="K1331" s="4"/>
      <c r="L1331" s="4"/>
      <c r="M1331" s="4"/>
      <c r="N1331" s="5"/>
      <c r="O1331" s="4"/>
    </row>
    <row r="1332" spans="1:15" x14ac:dyDescent="0.25">
      <c r="A1332" s="228"/>
    </row>
    <row r="1333" spans="1:15" x14ac:dyDescent="0.25">
      <c r="A1333" s="228"/>
    </row>
    <row r="1334" spans="1:15" x14ac:dyDescent="0.25">
      <c r="A1334" s="228"/>
    </row>
    <row r="1335" spans="1:15" x14ac:dyDescent="0.25">
      <c r="A1335" s="228"/>
      <c r="B1335" s="5"/>
      <c r="C1335" s="4"/>
      <c r="D1335" s="5"/>
      <c r="E1335" s="4"/>
      <c r="F1335" s="4"/>
      <c r="G1335" s="5"/>
      <c r="H1335" s="4"/>
      <c r="I1335" s="4"/>
      <c r="J1335" s="5"/>
      <c r="K1335" s="4"/>
      <c r="L1335" s="4"/>
      <c r="M1335" s="4"/>
      <c r="N1335" s="5"/>
      <c r="O1335" s="4"/>
    </row>
    <row r="1336" spans="1:15" x14ac:dyDescent="0.25">
      <c r="A1336" s="228"/>
      <c r="F1336" s="4"/>
    </row>
    <row r="1337" spans="1:15" x14ac:dyDescent="0.25">
      <c r="A1337" s="228"/>
    </row>
    <row r="1338" spans="1:15" x14ac:dyDescent="0.25">
      <c r="A1338" s="228"/>
    </row>
    <row r="1339" spans="1:15" x14ac:dyDescent="0.25">
      <c r="A1339" s="228"/>
    </row>
    <row r="1340" spans="1:15" x14ac:dyDescent="0.25">
      <c r="A1340" s="228"/>
    </row>
    <row r="1341" spans="1:15" x14ac:dyDescent="0.25">
      <c r="A1341" s="228"/>
    </row>
    <row r="1342" spans="1:15" x14ac:dyDescent="0.25">
      <c r="A1342" s="228"/>
    </row>
    <row r="1343" spans="1:15" x14ac:dyDescent="0.25">
      <c r="A1343" s="228"/>
    </row>
    <row r="1344" spans="1:15" x14ac:dyDescent="0.25">
      <c r="A1344" s="228"/>
      <c r="B1344" s="5"/>
      <c r="C1344" s="4"/>
      <c r="D1344" s="5"/>
      <c r="E1344" s="4"/>
      <c r="F1344" s="4"/>
      <c r="G1344" s="5"/>
      <c r="H1344" s="4"/>
      <c r="I1344" s="4"/>
      <c r="J1344" s="5"/>
      <c r="K1344" s="4"/>
      <c r="L1344" s="4"/>
      <c r="M1344" s="4"/>
      <c r="N1344" s="5"/>
      <c r="O1344" s="4"/>
    </row>
    <row r="1345" spans="1:21" x14ac:dyDescent="0.25">
      <c r="A1345" s="228"/>
      <c r="G1345" s="5"/>
      <c r="H1345" s="4"/>
      <c r="I1345" s="4"/>
      <c r="J1345" s="5"/>
      <c r="K1345" s="4"/>
      <c r="L1345" s="4"/>
      <c r="M1345" s="4"/>
      <c r="N1345" s="5"/>
    </row>
    <row r="1346" spans="1:21" x14ac:dyDescent="0.25">
      <c r="A1346" s="228"/>
      <c r="B1346" s="5"/>
      <c r="C1346" s="4"/>
      <c r="D1346" s="5"/>
      <c r="E1346" s="4"/>
      <c r="F1346" s="4"/>
      <c r="G1346" s="5"/>
      <c r="H1346" s="4"/>
      <c r="I1346" s="4"/>
      <c r="J1346" s="5"/>
      <c r="K1346" s="4"/>
      <c r="L1346" s="4"/>
      <c r="M1346" s="4"/>
      <c r="N1346" s="5"/>
      <c r="O1346" s="4"/>
    </row>
    <row r="1347" spans="1:21" x14ac:dyDescent="0.25">
      <c r="A1347" s="228"/>
    </row>
    <row r="1348" spans="1:21" x14ac:dyDescent="0.25">
      <c r="A1348" s="228"/>
      <c r="B1348" s="5"/>
      <c r="C1348" s="4"/>
      <c r="D1348" s="5"/>
      <c r="E1348" s="4"/>
      <c r="F1348" s="4"/>
      <c r="G1348" s="5"/>
      <c r="H1348" s="4"/>
      <c r="I1348" s="4"/>
      <c r="J1348" s="5"/>
      <c r="K1348" s="4"/>
      <c r="L1348" s="4"/>
      <c r="M1348" s="4"/>
      <c r="N1348" s="5"/>
      <c r="O1348" s="4"/>
    </row>
    <row r="1349" spans="1:21" x14ac:dyDescent="0.25">
      <c r="A1349" s="228"/>
    </row>
    <row r="1350" spans="1:21" x14ac:dyDescent="0.25">
      <c r="A1350" s="228"/>
      <c r="E1350" s="4"/>
    </row>
    <row r="1351" spans="1:21" x14ac:dyDescent="0.25">
      <c r="A1351" s="228"/>
    </row>
    <row r="1352" spans="1:21" x14ac:dyDescent="0.25">
      <c r="A1352" s="228"/>
      <c r="E1352" s="4"/>
    </row>
    <row r="1353" spans="1:21" x14ac:dyDescent="0.25">
      <c r="A1353" s="228"/>
      <c r="P1353" s="5"/>
      <c r="Q1353" s="5"/>
      <c r="R1353" s="281"/>
      <c r="T1353" s="149"/>
      <c r="U1353" s="4"/>
    </row>
    <row r="1354" spans="1:21" x14ac:dyDescent="0.25">
      <c r="A1354" s="228"/>
    </row>
    <row r="1355" spans="1:21" x14ac:dyDescent="0.25">
      <c r="A1355" s="228"/>
    </row>
    <row r="1356" spans="1:21" x14ac:dyDescent="0.25">
      <c r="A1356" s="228"/>
      <c r="B1356" s="5"/>
      <c r="C1356" s="4"/>
      <c r="J1356" s="5"/>
      <c r="N1356" s="5"/>
    </row>
    <row r="1357" spans="1:21" x14ac:dyDescent="0.25">
      <c r="A1357" s="228"/>
    </row>
    <row r="1358" spans="1:21" x14ac:dyDescent="0.25">
      <c r="A1358" s="228"/>
    </row>
    <row r="1359" spans="1:21" x14ac:dyDescent="0.25">
      <c r="A1359" s="228"/>
    </row>
    <row r="1360" spans="1:21" x14ac:dyDescent="0.25">
      <c r="A1360" s="228"/>
    </row>
    <row r="1361" spans="1:15" x14ac:dyDescent="0.25">
      <c r="A1361" s="228"/>
    </row>
    <row r="1362" spans="1:15" x14ac:dyDescent="0.25">
      <c r="A1362" s="228"/>
    </row>
    <row r="1363" spans="1:15" x14ac:dyDescent="0.25">
      <c r="A1363" s="228"/>
    </row>
    <row r="1364" spans="1:15" x14ac:dyDescent="0.25">
      <c r="A1364" s="228"/>
      <c r="B1364" s="5"/>
      <c r="C1364" s="4"/>
      <c r="D1364" s="5"/>
      <c r="E1364" s="4"/>
      <c r="F1364" s="4"/>
      <c r="G1364" s="5"/>
      <c r="H1364" s="4"/>
      <c r="I1364" s="4"/>
      <c r="J1364" s="5"/>
      <c r="K1364" s="4"/>
      <c r="L1364" s="4"/>
      <c r="M1364" s="4"/>
      <c r="N1364" s="5"/>
      <c r="O1364" s="4"/>
    </row>
    <row r="1365" spans="1:15" x14ac:dyDescent="0.25">
      <c r="A1365" s="228"/>
    </row>
    <row r="1366" spans="1:15" x14ac:dyDescent="0.25">
      <c r="A1366" s="228"/>
    </row>
    <row r="1367" spans="1:15" x14ac:dyDescent="0.25">
      <c r="A1367" s="228"/>
    </row>
    <row r="1368" spans="1:15" x14ac:dyDescent="0.25">
      <c r="A1368" s="228"/>
    </row>
    <row r="1369" spans="1:15" x14ac:dyDescent="0.25">
      <c r="A1369" s="228"/>
    </row>
    <row r="1370" spans="1:15" x14ac:dyDescent="0.25">
      <c r="A1370" s="228"/>
      <c r="B1370" s="5"/>
      <c r="C1370" s="4"/>
      <c r="D1370" s="5"/>
      <c r="E1370" s="4"/>
      <c r="F1370" s="4"/>
      <c r="G1370" s="5"/>
      <c r="H1370" s="4"/>
      <c r="I1370" s="4"/>
      <c r="J1370" s="5"/>
      <c r="K1370" s="4"/>
      <c r="L1370" s="4"/>
      <c r="M1370" s="4"/>
      <c r="N1370" s="5"/>
      <c r="O1370" s="4"/>
    </row>
    <row r="1371" spans="1:15" x14ac:dyDescent="0.25">
      <c r="A1371" s="228"/>
    </row>
    <row r="1372" spans="1:15" x14ac:dyDescent="0.25">
      <c r="A1372" s="228"/>
    </row>
    <row r="1373" spans="1:15" x14ac:dyDescent="0.25">
      <c r="A1373" s="228"/>
      <c r="B1373" s="5"/>
      <c r="C1373" s="4"/>
      <c r="D1373" s="5"/>
      <c r="E1373" s="4"/>
      <c r="F1373" s="4"/>
      <c r="G1373" s="5"/>
      <c r="H1373" s="4"/>
      <c r="I1373" s="4"/>
      <c r="J1373" s="5"/>
      <c r="K1373" s="4"/>
      <c r="L1373" s="4"/>
      <c r="M1373" s="4"/>
      <c r="N1373" s="5"/>
      <c r="O1373" s="4"/>
    </row>
    <row r="1374" spans="1:15" x14ac:dyDescent="0.25">
      <c r="A1374" s="228"/>
    </row>
    <row r="1375" spans="1:15" x14ac:dyDescent="0.25">
      <c r="A1375" s="228"/>
    </row>
    <row r="1376" spans="1:15" x14ac:dyDescent="0.25">
      <c r="A1376" s="228"/>
    </row>
    <row r="1377" spans="1:15" x14ac:dyDescent="0.25">
      <c r="A1377" s="228"/>
      <c r="B1377" s="5"/>
      <c r="C1377" s="4"/>
      <c r="D1377" s="5"/>
      <c r="E1377" s="4"/>
      <c r="F1377" s="4"/>
      <c r="G1377" s="5"/>
      <c r="H1377" s="4"/>
      <c r="I1377" s="4"/>
      <c r="J1377" s="5"/>
      <c r="K1377" s="4"/>
      <c r="L1377" s="4"/>
      <c r="M1377" s="4"/>
      <c r="N1377" s="5"/>
      <c r="O1377" s="4"/>
    </row>
    <row r="1378" spans="1:15" x14ac:dyDescent="0.25">
      <c r="A1378" s="228"/>
    </row>
    <row r="1379" spans="1:15" x14ac:dyDescent="0.25">
      <c r="A1379" s="228"/>
    </row>
    <row r="1380" spans="1:15" x14ac:dyDescent="0.25">
      <c r="A1380" s="228"/>
    </row>
    <row r="1381" spans="1:15" x14ac:dyDescent="0.25">
      <c r="A1381" s="228"/>
    </row>
    <row r="1382" spans="1:15" x14ac:dyDescent="0.25">
      <c r="A1382" s="228"/>
    </row>
    <row r="1383" spans="1:15" x14ac:dyDescent="0.25">
      <c r="A1383" s="228"/>
    </row>
    <row r="1384" spans="1:15" x14ac:dyDescent="0.25">
      <c r="A1384" s="228"/>
    </row>
    <row r="1385" spans="1:15" x14ac:dyDescent="0.25">
      <c r="A1385" s="228"/>
    </row>
    <row r="1386" spans="1:15" x14ac:dyDescent="0.25">
      <c r="A1386" s="228"/>
      <c r="B1386" s="5"/>
      <c r="C1386" s="4"/>
      <c r="D1386" s="5"/>
      <c r="E1386" s="4"/>
      <c r="F1386" s="4"/>
      <c r="G1386" s="5"/>
      <c r="H1386" s="4"/>
      <c r="I1386" s="4"/>
      <c r="J1386" s="5"/>
      <c r="K1386" s="4"/>
      <c r="L1386" s="4"/>
      <c r="M1386" s="4"/>
      <c r="N1386" s="5"/>
      <c r="O1386" s="4"/>
    </row>
    <row r="1387" spans="1:15" x14ac:dyDescent="0.25">
      <c r="A1387" s="228"/>
    </row>
    <row r="1388" spans="1:15" x14ac:dyDescent="0.25">
      <c r="A1388" s="228"/>
    </row>
    <row r="1389" spans="1:15" x14ac:dyDescent="0.25">
      <c r="A1389" s="228"/>
    </row>
    <row r="1390" spans="1:15" x14ac:dyDescent="0.25">
      <c r="A1390" s="228"/>
    </row>
    <row r="1391" spans="1:15" x14ac:dyDescent="0.25">
      <c r="A1391" s="228"/>
    </row>
    <row r="1392" spans="1:15" x14ac:dyDescent="0.25">
      <c r="A1392" s="228"/>
    </row>
    <row r="1393" spans="1:15" x14ac:dyDescent="0.25">
      <c r="A1393" s="228"/>
    </row>
    <row r="1394" spans="1:15" x14ac:dyDescent="0.25">
      <c r="A1394" s="228"/>
    </row>
    <row r="1395" spans="1:15" x14ac:dyDescent="0.25">
      <c r="A1395" s="228"/>
    </row>
    <row r="1396" spans="1:15" x14ac:dyDescent="0.25">
      <c r="A1396" s="228"/>
    </row>
    <row r="1397" spans="1:15" x14ac:dyDescent="0.25">
      <c r="A1397" s="228"/>
    </row>
    <row r="1398" spans="1:15" x14ac:dyDescent="0.25">
      <c r="A1398" s="228"/>
      <c r="B1398" s="5"/>
      <c r="D1398" s="5"/>
      <c r="E1398" s="4"/>
      <c r="F1398" s="4"/>
      <c r="G1398" s="5"/>
      <c r="H1398" s="4"/>
      <c r="I1398" s="4"/>
      <c r="J1398" s="5"/>
      <c r="K1398" s="4"/>
      <c r="L1398" s="4"/>
      <c r="M1398" s="4"/>
      <c r="N1398" s="5"/>
      <c r="O1398" s="4"/>
    </row>
    <row r="1399" spans="1:15" x14ac:dyDescent="0.25">
      <c r="A1399" s="228"/>
    </row>
    <row r="1400" spans="1:15" x14ac:dyDescent="0.25">
      <c r="A1400" s="228"/>
      <c r="B1400" s="5"/>
      <c r="C1400" s="4"/>
      <c r="D1400" s="5"/>
      <c r="E1400" s="4"/>
      <c r="F1400" s="4"/>
      <c r="G1400" s="5"/>
      <c r="H1400" s="4"/>
      <c r="I1400" s="4"/>
      <c r="J1400" s="5"/>
      <c r="K1400" s="4"/>
      <c r="L1400" s="4"/>
      <c r="M1400" s="4"/>
      <c r="N1400" s="5"/>
      <c r="O1400" s="4"/>
    </row>
    <row r="1401" spans="1:15" x14ac:dyDescent="0.25">
      <c r="A1401" s="228"/>
    </row>
    <row r="1402" spans="1:15" x14ac:dyDescent="0.25">
      <c r="A1402" s="228"/>
      <c r="B1402" s="5"/>
      <c r="C1402" s="4"/>
      <c r="D1402" s="5"/>
      <c r="E1402" s="4"/>
      <c r="F1402" s="4"/>
      <c r="G1402" s="5"/>
      <c r="H1402" s="4"/>
      <c r="I1402" s="4"/>
      <c r="J1402" s="5"/>
      <c r="K1402" s="4"/>
      <c r="L1402" s="4"/>
      <c r="M1402" s="4"/>
      <c r="N1402" s="5"/>
      <c r="O1402" s="4"/>
    </row>
    <row r="1403" spans="1:15" x14ac:dyDescent="0.25">
      <c r="A1403" s="228"/>
    </row>
    <row r="1404" spans="1:15" x14ac:dyDescent="0.25">
      <c r="A1404" s="228"/>
    </row>
    <row r="1405" spans="1:15" x14ac:dyDescent="0.25">
      <c r="A1405" s="228"/>
      <c r="C1405" s="4"/>
    </row>
    <row r="1406" spans="1:15" x14ac:dyDescent="0.25">
      <c r="A1406" s="228"/>
    </row>
    <row r="1407" spans="1:15" x14ac:dyDescent="0.25">
      <c r="A1407" s="228"/>
    </row>
    <row r="1408" spans="1:15" x14ac:dyDescent="0.25">
      <c r="A1408" s="228"/>
    </row>
    <row r="1409" spans="1:21" x14ac:dyDescent="0.25">
      <c r="A1409" s="228"/>
      <c r="U1409" s="4"/>
    </row>
    <row r="1410" spans="1:21" x14ac:dyDescent="0.25">
      <c r="A1410" s="228"/>
    </row>
    <row r="1411" spans="1:21" x14ac:dyDescent="0.25">
      <c r="A1411" s="228"/>
    </row>
    <row r="1412" spans="1:21" x14ac:dyDescent="0.25">
      <c r="A1412" s="228"/>
    </row>
    <row r="1413" spans="1:21" x14ac:dyDescent="0.25">
      <c r="A1413" s="228"/>
    </row>
    <row r="1414" spans="1:21" x14ac:dyDescent="0.25">
      <c r="A1414" s="228"/>
    </row>
    <row r="1415" spans="1:21" x14ac:dyDescent="0.25">
      <c r="A1415" s="228"/>
      <c r="B1415" s="5"/>
      <c r="C1415" s="4"/>
      <c r="D1415" s="5"/>
      <c r="E1415" s="4"/>
      <c r="F1415" s="4"/>
      <c r="G1415" s="5"/>
      <c r="H1415" s="4"/>
      <c r="I1415" s="4"/>
      <c r="J1415" s="5"/>
      <c r="K1415" s="4"/>
      <c r="L1415" s="4"/>
      <c r="M1415" s="4"/>
      <c r="N1415" s="5"/>
      <c r="O1415" s="4"/>
    </row>
    <row r="1416" spans="1:21" x14ac:dyDescent="0.25">
      <c r="A1416" s="228"/>
    </row>
    <row r="1417" spans="1:21" x14ac:dyDescent="0.25">
      <c r="A1417" s="228"/>
      <c r="B1417" s="5"/>
      <c r="C1417" s="4"/>
      <c r="D1417" s="5"/>
      <c r="E1417" s="4"/>
      <c r="F1417" s="4"/>
      <c r="G1417" s="5"/>
      <c r="H1417" s="4"/>
      <c r="I1417" s="4"/>
      <c r="J1417" s="5"/>
      <c r="K1417" s="4"/>
      <c r="L1417" s="4"/>
      <c r="M1417" s="4"/>
      <c r="N1417" s="5"/>
      <c r="O1417" s="4"/>
    </row>
    <row r="1418" spans="1:21" x14ac:dyDescent="0.25">
      <c r="A1418" s="228"/>
      <c r="B1418" s="5"/>
      <c r="C1418" s="4"/>
      <c r="D1418" s="5"/>
      <c r="E1418" s="4"/>
      <c r="F1418" s="4"/>
      <c r="G1418" s="5"/>
      <c r="H1418" s="4"/>
      <c r="I1418" s="4"/>
      <c r="J1418" s="5"/>
      <c r="K1418" s="4"/>
      <c r="L1418" s="4"/>
      <c r="M1418" s="4"/>
      <c r="N1418" s="5"/>
      <c r="O1418" s="4"/>
    </row>
    <row r="1419" spans="1:21" x14ac:dyDescent="0.25">
      <c r="A1419" s="228"/>
    </row>
    <row r="1420" spans="1:21" x14ac:dyDescent="0.25">
      <c r="A1420" s="228"/>
    </row>
    <row r="1421" spans="1:21" x14ac:dyDescent="0.25">
      <c r="A1421" s="228"/>
      <c r="B1421" s="5"/>
      <c r="C1421" s="4"/>
      <c r="D1421" s="5"/>
      <c r="E1421" s="4"/>
      <c r="F1421" s="4"/>
      <c r="G1421" s="5"/>
      <c r="H1421" s="4"/>
      <c r="I1421" s="4"/>
      <c r="J1421" s="5"/>
      <c r="K1421" s="4"/>
      <c r="L1421" s="4"/>
      <c r="M1421" s="4"/>
      <c r="N1421" s="5"/>
      <c r="O1421" s="4"/>
    </row>
    <row r="1422" spans="1:21" x14ac:dyDescent="0.25">
      <c r="A1422" s="228"/>
    </row>
    <row r="1423" spans="1:21" x14ac:dyDescent="0.25">
      <c r="A1423" s="228"/>
    </row>
    <row r="1424" spans="1:21" x14ac:dyDescent="0.25">
      <c r="A1424" s="228"/>
    </row>
    <row r="1425" spans="1:15" x14ac:dyDescent="0.25">
      <c r="A1425" s="228"/>
    </row>
    <row r="1426" spans="1:15" x14ac:dyDescent="0.25">
      <c r="A1426" s="228"/>
      <c r="B1426" s="5"/>
      <c r="C1426" s="4"/>
      <c r="D1426" s="5"/>
      <c r="E1426" s="4"/>
      <c r="F1426" s="4"/>
      <c r="G1426" s="5"/>
      <c r="H1426" s="4"/>
      <c r="I1426" s="4"/>
      <c r="J1426" s="5"/>
      <c r="K1426" s="4"/>
      <c r="L1426" s="4"/>
      <c r="M1426" s="4"/>
      <c r="N1426" s="5"/>
      <c r="O1426" s="4"/>
    </row>
    <row r="1427" spans="1:15" x14ac:dyDescent="0.25">
      <c r="A1427" s="228"/>
    </row>
    <row r="1428" spans="1:15" x14ac:dyDescent="0.25">
      <c r="A1428" s="228"/>
    </row>
    <row r="1429" spans="1:15" x14ac:dyDescent="0.25">
      <c r="A1429" s="228"/>
    </row>
    <row r="1430" spans="1:15" x14ac:dyDescent="0.25">
      <c r="A1430" s="228"/>
    </row>
    <row r="1431" spans="1:15" x14ac:dyDescent="0.25">
      <c r="A1431" s="228"/>
      <c r="C1431" s="4"/>
      <c r="D1431" s="5"/>
      <c r="E1431" s="4"/>
      <c r="F1431" s="4"/>
      <c r="G1431" s="5"/>
      <c r="H1431" s="4"/>
      <c r="I1431" s="4"/>
      <c r="J1431" s="5"/>
      <c r="K1431" s="4"/>
      <c r="L1431" s="4"/>
      <c r="M1431" s="4"/>
      <c r="N1431" s="5"/>
      <c r="O1431" s="4"/>
    </row>
    <row r="1432" spans="1:15" x14ac:dyDescent="0.25">
      <c r="A1432" s="228"/>
      <c r="C1432" s="4"/>
      <c r="D1432" s="5"/>
      <c r="E1432" s="4"/>
      <c r="F1432" s="4"/>
      <c r="G1432" s="5"/>
      <c r="H1432" s="4"/>
      <c r="I1432" s="4"/>
      <c r="J1432" s="5"/>
      <c r="K1432" s="4"/>
      <c r="L1432" s="4"/>
      <c r="M1432" s="4"/>
      <c r="N1432" s="5"/>
      <c r="O1432" s="4"/>
    </row>
    <row r="1433" spans="1:15" x14ac:dyDescent="0.25">
      <c r="A1433" s="228"/>
      <c r="E1433" s="4"/>
      <c r="F1433" s="4"/>
      <c r="J1433" s="5"/>
      <c r="N1433" s="5"/>
      <c r="O1433" s="4"/>
    </row>
    <row r="1434" spans="1:15" x14ac:dyDescent="0.25">
      <c r="A1434" s="228"/>
      <c r="B1434" s="5"/>
      <c r="C1434" s="4"/>
      <c r="D1434" s="5"/>
      <c r="E1434" s="4"/>
      <c r="F1434" s="4"/>
      <c r="G1434" s="5"/>
      <c r="H1434" s="4"/>
      <c r="I1434" s="4"/>
      <c r="J1434" s="5"/>
      <c r="K1434" s="4"/>
      <c r="L1434" s="4"/>
      <c r="M1434" s="4"/>
      <c r="N1434" s="5"/>
      <c r="O1434" s="4"/>
    </row>
    <row r="1435" spans="1:15" x14ac:dyDescent="0.25">
      <c r="A1435" s="228"/>
    </row>
    <row r="1436" spans="1:15" x14ac:dyDescent="0.25">
      <c r="A1436" s="228"/>
    </row>
    <row r="1437" spans="1:15" x14ac:dyDescent="0.25">
      <c r="A1437" s="228"/>
      <c r="B1437" s="5"/>
      <c r="C1437" s="4"/>
      <c r="D1437" s="5"/>
      <c r="E1437" s="4"/>
      <c r="F1437" s="4"/>
      <c r="G1437" s="5"/>
      <c r="H1437" s="4"/>
      <c r="I1437" s="4"/>
      <c r="J1437" s="5"/>
      <c r="K1437" s="4"/>
      <c r="L1437" s="4"/>
      <c r="M1437" s="4"/>
      <c r="N1437" s="5"/>
      <c r="O1437" s="4"/>
    </row>
    <row r="1438" spans="1:15" x14ac:dyDescent="0.25">
      <c r="A1438" s="228"/>
      <c r="B1438" s="5"/>
      <c r="C1438" s="4"/>
      <c r="D1438" s="5"/>
      <c r="E1438" s="4"/>
      <c r="F1438" s="4"/>
      <c r="G1438" s="5"/>
      <c r="H1438" s="4"/>
      <c r="I1438" s="4"/>
      <c r="J1438" s="5"/>
      <c r="K1438" s="4"/>
      <c r="L1438" s="4"/>
      <c r="M1438" s="4"/>
      <c r="N1438" s="5"/>
      <c r="O1438" s="4"/>
    </row>
    <row r="1439" spans="1:15" x14ac:dyDescent="0.25">
      <c r="A1439" s="228"/>
    </row>
    <row r="1440" spans="1:15" x14ac:dyDescent="0.25">
      <c r="A1440" s="228"/>
    </row>
    <row r="1441" spans="1:21" x14ac:dyDescent="0.25">
      <c r="A1441" s="228"/>
      <c r="B1441" s="5"/>
      <c r="C1441" s="4"/>
      <c r="D1441" s="5"/>
      <c r="E1441" s="4"/>
      <c r="F1441" s="4"/>
      <c r="G1441" s="5"/>
      <c r="H1441" s="4"/>
      <c r="I1441" s="4"/>
      <c r="K1441" s="4"/>
      <c r="L1441" s="4"/>
      <c r="M1441" s="4"/>
      <c r="O1441" s="4"/>
    </row>
    <row r="1442" spans="1:21" x14ac:dyDescent="0.25">
      <c r="A1442" s="228"/>
    </row>
    <row r="1443" spans="1:21" x14ac:dyDescent="0.25">
      <c r="A1443" s="228"/>
      <c r="C1443" s="4"/>
      <c r="D1443" s="5"/>
      <c r="E1443" s="4"/>
      <c r="F1443" s="4"/>
      <c r="G1443" s="5"/>
      <c r="H1443" s="4"/>
      <c r="I1443" s="4"/>
      <c r="J1443" s="5"/>
      <c r="K1443" s="4"/>
      <c r="L1443" s="4"/>
      <c r="M1443" s="4"/>
      <c r="N1443" s="5"/>
      <c r="O1443" s="4"/>
    </row>
    <row r="1444" spans="1:21" x14ac:dyDescent="0.25">
      <c r="A1444" s="228"/>
    </row>
    <row r="1445" spans="1:21" x14ac:dyDescent="0.25">
      <c r="A1445" s="228"/>
      <c r="B1445" s="5"/>
      <c r="C1445" s="4"/>
      <c r="D1445" s="5"/>
      <c r="E1445" s="4"/>
      <c r="F1445" s="4"/>
      <c r="G1445" s="5"/>
      <c r="H1445" s="4"/>
      <c r="I1445" s="4"/>
      <c r="J1445" s="5"/>
      <c r="K1445" s="4"/>
      <c r="L1445" s="4"/>
      <c r="M1445" s="4"/>
      <c r="N1445" s="5"/>
      <c r="O1445" s="4"/>
    </row>
    <row r="1446" spans="1:21" x14ac:dyDescent="0.25">
      <c r="A1446" s="228"/>
    </row>
    <row r="1447" spans="1:21" x14ac:dyDescent="0.25">
      <c r="A1447" s="228"/>
      <c r="B1447" s="5"/>
      <c r="C1447" s="4"/>
      <c r="D1447" s="5"/>
      <c r="E1447" s="4"/>
      <c r="F1447" s="4"/>
      <c r="G1447" s="5"/>
      <c r="H1447" s="4"/>
      <c r="I1447" s="4"/>
      <c r="J1447" s="5"/>
      <c r="K1447" s="4"/>
      <c r="L1447" s="4"/>
      <c r="M1447" s="4"/>
      <c r="N1447" s="5"/>
      <c r="O1447" s="4"/>
    </row>
    <row r="1448" spans="1:21" x14ac:dyDescent="0.25">
      <c r="A1448" s="228"/>
    </row>
    <row r="1449" spans="1:21" x14ac:dyDescent="0.25">
      <c r="A1449" s="228"/>
      <c r="B1449" s="5"/>
      <c r="C1449" s="4"/>
      <c r="D1449" s="5"/>
      <c r="E1449" s="4"/>
      <c r="F1449" s="4"/>
      <c r="G1449" s="5"/>
      <c r="H1449" s="4"/>
      <c r="I1449" s="4"/>
      <c r="J1449" s="5"/>
      <c r="K1449" s="4"/>
      <c r="L1449" s="4"/>
      <c r="M1449" s="4"/>
      <c r="N1449" s="5"/>
      <c r="O1449" s="4"/>
    </row>
    <row r="1450" spans="1:21" x14ac:dyDescent="0.25">
      <c r="A1450" s="228"/>
    </row>
    <row r="1451" spans="1:21" x14ac:dyDescent="0.25">
      <c r="A1451" s="228"/>
      <c r="B1451" s="5"/>
      <c r="C1451" s="4"/>
      <c r="D1451" s="5"/>
      <c r="E1451" s="4"/>
      <c r="F1451" s="4"/>
      <c r="G1451" s="5"/>
      <c r="H1451" s="4"/>
      <c r="I1451" s="4"/>
      <c r="J1451" s="5"/>
      <c r="K1451" s="4"/>
      <c r="L1451" s="4"/>
      <c r="M1451" s="4"/>
      <c r="N1451" s="5"/>
      <c r="O1451" s="4"/>
    </row>
    <row r="1452" spans="1:21" x14ac:dyDescent="0.25">
      <c r="A1452" s="228"/>
    </row>
    <row r="1453" spans="1:21" x14ac:dyDescent="0.25">
      <c r="A1453" s="228"/>
      <c r="T1453" s="149"/>
      <c r="U1453" s="4"/>
    </row>
    <row r="1454" spans="1:21" x14ac:dyDescent="0.25">
      <c r="A1454" s="228"/>
    </row>
    <row r="1455" spans="1:21" x14ac:dyDescent="0.25">
      <c r="A1455" s="228"/>
    </row>
    <row r="1456" spans="1:21" x14ac:dyDescent="0.25">
      <c r="A1456" s="228"/>
    </row>
    <row r="1457" spans="1:15" x14ac:dyDescent="0.25">
      <c r="A1457" s="228"/>
      <c r="E1457" s="4"/>
    </row>
    <row r="1458" spans="1:15" x14ac:dyDescent="0.25">
      <c r="A1458" s="228"/>
    </row>
    <row r="1459" spans="1:15" x14ac:dyDescent="0.25">
      <c r="A1459" s="228"/>
    </row>
    <row r="1460" spans="1:15" x14ac:dyDescent="0.25">
      <c r="A1460" s="228"/>
      <c r="B1460" s="5"/>
      <c r="C1460" s="4"/>
      <c r="D1460" s="5"/>
      <c r="E1460" s="4"/>
      <c r="F1460" s="4"/>
      <c r="G1460" s="5"/>
      <c r="H1460" s="4"/>
      <c r="I1460" s="4"/>
      <c r="J1460" s="5"/>
      <c r="K1460" s="4"/>
      <c r="L1460" s="4"/>
      <c r="M1460" s="4"/>
      <c r="N1460" s="5"/>
      <c r="O1460" s="4"/>
    </row>
    <row r="1461" spans="1:15" x14ac:dyDescent="0.25">
      <c r="A1461" s="228"/>
      <c r="B1461" s="5"/>
      <c r="C1461" s="4"/>
      <c r="D1461" s="5"/>
      <c r="E1461" s="4"/>
      <c r="F1461" s="4"/>
      <c r="G1461" s="5"/>
      <c r="H1461" s="4"/>
      <c r="I1461" s="4"/>
      <c r="J1461" s="5"/>
      <c r="K1461" s="4"/>
      <c r="L1461" s="4"/>
      <c r="M1461" s="4"/>
      <c r="N1461" s="5"/>
      <c r="O1461" s="4"/>
    </row>
    <row r="1462" spans="1:15" x14ac:dyDescent="0.25">
      <c r="A1462" s="228"/>
    </row>
    <row r="1463" spans="1:15" x14ac:dyDescent="0.25">
      <c r="A1463" s="228"/>
    </row>
    <row r="1464" spans="1:15" x14ac:dyDescent="0.25">
      <c r="A1464" s="228"/>
    </row>
    <row r="1465" spans="1:15" x14ac:dyDescent="0.25">
      <c r="A1465" s="228"/>
    </row>
    <row r="1466" spans="1:15" x14ac:dyDescent="0.25">
      <c r="A1466" s="228"/>
    </row>
    <row r="1467" spans="1:15" x14ac:dyDescent="0.25">
      <c r="A1467" s="228"/>
    </row>
    <row r="1468" spans="1:15" x14ac:dyDescent="0.25">
      <c r="A1468" s="228"/>
    </row>
    <row r="1469" spans="1:15" x14ac:dyDescent="0.25">
      <c r="A1469" s="228"/>
      <c r="B1469" s="5"/>
      <c r="C1469" s="4"/>
      <c r="D1469" s="5"/>
      <c r="E1469" s="4"/>
      <c r="F1469" s="4"/>
      <c r="G1469" s="5"/>
      <c r="H1469" s="4"/>
      <c r="I1469" s="4"/>
      <c r="J1469" s="5"/>
      <c r="K1469" s="4"/>
      <c r="L1469" s="4"/>
      <c r="M1469" s="4"/>
      <c r="N1469" s="5"/>
      <c r="O1469" s="4"/>
    </row>
    <row r="1470" spans="1:15" x14ac:dyDescent="0.25">
      <c r="A1470" s="228"/>
    </row>
    <row r="1471" spans="1:15" x14ac:dyDescent="0.25">
      <c r="A1471" s="228"/>
    </row>
    <row r="1472" spans="1:15" x14ac:dyDescent="0.25">
      <c r="A1472" s="228"/>
      <c r="B1472" s="5"/>
      <c r="C1472" s="4"/>
      <c r="E1472" s="4"/>
      <c r="F1472" s="4"/>
      <c r="G1472" s="5"/>
      <c r="H1472" s="4"/>
      <c r="I1472" s="4"/>
      <c r="K1472" s="4"/>
      <c r="L1472" s="4"/>
      <c r="M1472" s="4"/>
      <c r="O1472" s="4"/>
    </row>
    <row r="1473" spans="1:15" x14ac:dyDescent="0.25">
      <c r="A1473" s="228"/>
      <c r="B1473" s="5"/>
      <c r="C1473" s="4"/>
      <c r="D1473" s="5"/>
      <c r="E1473" s="4"/>
      <c r="F1473" s="4"/>
      <c r="G1473" s="5"/>
      <c r="H1473" s="4"/>
      <c r="I1473" s="4"/>
      <c r="J1473" s="5"/>
      <c r="K1473" s="4"/>
      <c r="L1473" s="4"/>
      <c r="M1473" s="4"/>
      <c r="N1473" s="5"/>
      <c r="O1473" s="4"/>
    </row>
    <row r="1474" spans="1:15" x14ac:dyDescent="0.25">
      <c r="A1474" s="228"/>
    </row>
    <row r="1475" spans="1:15" x14ac:dyDescent="0.25">
      <c r="A1475" s="228"/>
      <c r="B1475" s="5"/>
      <c r="C1475" s="4"/>
      <c r="D1475" s="5"/>
      <c r="E1475" s="4"/>
      <c r="F1475" s="4"/>
      <c r="G1475" s="5"/>
      <c r="H1475" s="4"/>
      <c r="I1475" s="4"/>
      <c r="J1475" s="5"/>
      <c r="K1475" s="4"/>
      <c r="L1475" s="4"/>
      <c r="M1475" s="4"/>
      <c r="N1475" s="5"/>
      <c r="O1475" s="4"/>
    </row>
    <row r="1476" spans="1:15" x14ac:dyDescent="0.25">
      <c r="A1476" s="228"/>
    </row>
    <row r="1477" spans="1:15" x14ac:dyDescent="0.25">
      <c r="A1477" s="228"/>
    </row>
    <row r="1478" spans="1:15" x14ac:dyDescent="0.25">
      <c r="A1478" s="228"/>
    </row>
    <row r="1479" spans="1:15" x14ac:dyDescent="0.25">
      <c r="A1479" s="228"/>
    </row>
    <row r="1480" spans="1:15" x14ac:dyDescent="0.25">
      <c r="A1480" s="228"/>
    </row>
    <row r="1481" spans="1:15" x14ac:dyDescent="0.25">
      <c r="A1481" s="228"/>
    </row>
    <row r="1482" spans="1:15" x14ac:dyDescent="0.25">
      <c r="A1482" s="228"/>
    </row>
    <row r="1483" spans="1:15" x14ac:dyDescent="0.25">
      <c r="A1483" s="228"/>
    </row>
    <row r="1484" spans="1:15" x14ac:dyDescent="0.25">
      <c r="A1484" s="228"/>
      <c r="B1484" s="5"/>
      <c r="C1484" s="4"/>
      <c r="D1484" s="5"/>
      <c r="E1484" s="4"/>
      <c r="F1484" s="4"/>
      <c r="G1484" s="5"/>
      <c r="H1484" s="4"/>
      <c r="I1484" s="4"/>
      <c r="J1484" s="5"/>
      <c r="K1484" s="4"/>
      <c r="L1484" s="4"/>
      <c r="M1484" s="4"/>
      <c r="N1484" s="5"/>
      <c r="O1484" s="4"/>
    </row>
    <row r="1485" spans="1:15" x14ac:dyDescent="0.25">
      <c r="A1485" s="228"/>
    </row>
    <row r="1486" spans="1:15" x14ac:dyDescent="0.25">
      <c r="A1486" s="228"/>
    </row>
    <row r="1487" spans="1:15" x14ac:dyDescent="0.25">
      <c r="A1487" s="228"/>
    </row>
    <row r="1488" spans="1:15" x14ac:dyDescent="0.25">
      <c r="A1488" s="228"/>
    </row>
    <row r="1489" spans="1:15" x14ac:dyDescent="0.25">
      <c r="A1489" s="228"/>
      <c r="B1489" s="5"/>
      <c r="C1489" s="4"/>
      <c r="D1489" s="5"/>
      <c r="E1489" s="4"/>
      <c r="F1489" s="4"/>
      <c r="G1489" s="5"/>
      <c r="H1489" s="4"/>
      <c r="I1489" s="4"/>
      <c r="J1489" s="5"/>
      <c r="K1489" s="4"/>
      <c r="L1489" s="4"/>
      <c r="M1489" s="4"/>
      <c r="N1489" s="5"/>
      <c r="O1489" s="4"/>
    </row>
    <row r="1490" spans="1:15" x14ac:dyDescent="0.25">
      <c r="A1490" s="228"/>
    </row>
    <row r="1491" spans="1:15" x14ac:dyDescent="0.25">
      <c r="A1491" s="228"/>
    </row>
    <row r="1492" spans="1:15" x14ac:dyDescent="0.25">
      <c r="A1492" s="228"/>
    </row>
    <row r="1493" spans="1:15" x14ac:dyDescent="0.25">
      <c r="A1493" s="228"/>
    </row>
    <row r="1494" spans="1:15" x14ac:dyDescent="0.25">
      <c r="A1494" s="228"/>
    </row>
    <row r="1495" spans="1:15" x14ac:dyDescent="0.25">
      <c r="A1495" s="228"/>
    </row>
    <row r="1496" spans="1:15" x14ac:dyDescent="0.25">
      <c r="A1496" s="228"/>
      <c r="B1496" s="5"/>
      <c r="C1496" s="4"/>
      <c r="D1496" s="5"/>
      <c r="E1496" s="4"/>
      <c r="F1496" s="4"/>
      <c r="G1496" s="5"/>
      <c r="H1496" s="4"/>
      <c r="I1496" s="4"/>
      <c r="J1496" s="5"/>
      <c r="K1496" s="4"/>
      <c r="L1496" s="4"/>
      <c r="M1496" s="4"/>
      <c r="N1496" s="5"/>
      <c r="O1496" s="4"/>
    </row>
    <row r="1497" spans="1:15" x14ac:dyDescent="0.25">
      <c r="A1497" s="228"/>
    </row>
    <row r="1498" spans="1:15" x14ac:dyDescent="0.25">
      <c r="A1498" s="228"/>
    </row>
    <row r="1499" spans="1:15" x14ac:dyDescent="0.25">
      <c r="A1499" s="228"/>
    </row>
    <row r="1500" spans="1:15" x14ac:dyDescent="0.25">
      <c r="A1500" s="228"/>
      <c r="B1500" s="5"/>
      <c r="C1500" s="4"/>
      <c r="D1500" s="5"/>
      <c r="E1500" s="4"/>
      <c r="F1500" s="4"/>
      <c r="G1500" s="5"/>
      <c r="H1500" s="4"/>
      <c r="I1500" s="4"/>
      <c r="J1500" s="5"/>
      <c r="K1500" s="4"/>
      <c r="L1500" s="4"/>
      <c r="M1500" s="4"/>
      <c r="N1500" s="5"/>
      <c r="O1500" s="4"/>
    </row>
    <row r="1501" spans="1:15" x14ac:dyDescent="0.25">
      <c r="A1501" s="228"/>
    </row>
    <row r="1502" spans="1:15" x14ac:dyDescent="0.25">
      <c r="A1502" s="228"/>
      <c r="B1502" s="5"/>
      <c r="C1502" s="4"/>
      <c r="J1502" s="5"/>
      <c r="N1502" s="5"/>
    </row>
    <row r="1503" spans="1:15" x14ac:dyDescent="0.25">
      <c r="A1503" s="228"/>
    </row>
    <row r="1504" spans="1:15" x14ac:dyDescent="0.25">
      <c r="A1504" s="228"/>
      <c r="B1504" s="5"/>
      <c r="C1504" s="4"/>
      <c r="D1504" s="5"/>
      <c r="E1504" s="4"/>
      <c r="F1504" s="4"/>
      <c r="G1504" s="5"/>
      <c r="H1504" s="4"/>
      <c r="I1504" s="4"/>
      <c r="J1504" s="5"/>
      <c r="K1504" s="4"/>
      <c r="L1504" s="4"/>
      <c r="M1504" s="4"/>
      <c r="N1504" s="5"/>
      <c r="O1504" s="4"/>
    </row>
    <row r="1505" spans="1:15" x14ac:dyDescent="0.25">
      <c r="A1505" s="228"/>
    </row>
    <row r="1506" spans="1:15" x14ac:dyDescent="0.25">
      <c r="A1506" s="228"/>
    </row>
    <row r="1507" spans="1:15" x14ac:dyDescent="0.25">
      <c r="A1507" s="228"/>
    </row>
    <row r="1508" spans="1:15" x14ac:dyDescent="0.25">
      <c r="A1508" s="228"/>
      <c r="B1508" s="5"/>
      <c r="C1508" s="4"/>
      <c r="D1508" s="5"/>
      <c r="E1508" s="4"/>
      <c r="F1508" s="4"/>
      <c r="G1508" s="5"/>
      <c r="H1508" s="4"/>
      <c r="I1508" s="4"/>
      <c r="J1508" s="5"/>
      <c r="K1508" s="4"/>
      <c r="L1508" s="4"/>
      <c r="M1508" s="4"/>
      <c r="N1508" s="5"/>
      <c r="O1508" s="4"/>
    </row>
    <row r="1509" spans="1:15" x14ac:dyDescent="0.25">
      <c r="A1509" s="228"/>
    </row>
    <row r="1510" spans="1:15" x14ac:dyDescent="0.25">
      <c r="A1510" s="228"/>
    </row>
    <row r="1511" spans="1:15" x14ac:dyDescent="0.25">
      <c r="A1511" s="228"/>
    </row>
    <row r="1512" spans="1:15" x14ac:dyDescent="0.25">
      <c r="A1512" s="228"/>
    </row>
    <row r="1513" spans="1:15" x14ac:dyDescent="0.25">
      <c r="A1513" s="228"/>
    </row>
    <row r="1514" spans="1:15" x14ac:dyDescent="0.25">
      <c r="A1514" s="228"/>
    </row>
    <row r="1515" spans="1:15" x14ac:dyDescent="0.25">
      <c r="A1515" s="228"/>
    </row>
    <row r="1516" spans="1:15" x14ac:dyDescent="0.25">
      <c r="A1516" s="228"/>
    </row>
    <row r="1517" spans="1:15" x14ac:dyDescent="0.25">
      <c r="A1517" s="228"/>
      <c r="B1517" s="5"/>
      <c r="D1517" s="5"/>
      <c r="E1517" s="4"/>
      <c r="F1517" s="4"/>
      <c r="G1517" s="5"/>
      <c r="H1517" s="4"/>
      <c r="I1517" s="4"/>
      <c r="J1517" s="5"/>
      <c r="K1517" s="4"/>
      <c r="L1517" s="4"/>
      <c r="M1517" s="4"/>
      <c r="N1517" s="5"/>
      <c r="O1517" s="4"/>
    </row>
    <row r="1518" spans="1:15" x14ac:dyDescent="0.25">
      <c r="A1518" s="228"/>
      <c r="B1518" s="5"/>
      <c r="C1518" s="4"/>
      <c r="D1518" s="5"/>
      <c r="E1518" s="4"/>
      <c r="F1518" s="4"/>
      <c r="G1518" s="5"/>
      <c r="H1518" s="4"/>
      <c r="I1518" s="4"/>
      <c r="J1518" s="5"/>
      <c r="K1518" s="4"/>
      <c r="L1518" s="4"/>
      <c r="M1518" s="4"/>
      <c r="N1518" s="5"/>
      <c r="O1518" s="4"/>
    </row>
    <row r="1519" spans="1:15" x14ac:dyDescent="0.25">
      <c r="A1519" s="228"/>
    </row>
    <row r="1520" spans="1:15" x14ac:dyDescent="0.25">
      <c r="A1520" s="228"/>
    </row>
    <row r="1521" spans="1:15" x14ac:dyDescent="0.25">
      <c r="A1521" s="228"/>
    </row>
    <row r="1522" spans="1:15" x14ac:dyDescent="0.25">
      <c r="A1522" s="228"/>
      <c r="B1522" s="5"/>
      <c r="C1522" s="4"/>
      <c r="D1522" s="5"/>
      <c r="E1522" s="4"/>
      <c r="F1522" s="4"/>
      <c r="G1522" s="5"/>
      <c r="H1522" s="4"/>
      <c r="I1522" s="4"/>
      <c r="J1522" s="5"/>
      <c r="K1522" s="4"/>
      <c r="L1522" s="4"/>
      <c r="M1522" s="4"/>
      <c r="N1522" s="5"/>
      <c r="O1522" s="4"/>
    </row>
    <row r="1523" spans="1:15" x14ac:dyDescent="0.25">
      <c r="A1523" s="228"/>
    </row>
    <row r="1524" spans="1:15" x14ac:dyDescent="0.25">
      <c r="A1524" s="228"/>
      <c r="B1524" s="5"/>
      <c r="C1524" s="4"/>
      <c r="D1524" s="5"/>
      <c r="E1524" s="4"/>
      <c r="F1524" s="4"/>
      <c r="G1524" s="5"/>
      <c r="H1524" s="4"/>
      <c r="I1524" s="4"/>
      <c r="J1524" s="5"/>
      <c r="K1524" s="4"/>
      <c r="L1524" s="4"/>
      <c r="M1524" s="4"/>
      <c r="N1524" s="5"/>
      <c r="O1524" s="4"/>
    </row>
    <row r="1525" spans="1:15" x14ac:dyDescent="0.25">
      <c r="A1525" s="228"/>
    </row>
    <row r="1526" spans="1:15" x14ac:dyDescent="0.25">
      <c r="A1526" s="228"/>
      <c r="B1526" s="5"/>
      <c r="C1526" s="4"/>
      <c r="D1526" s="5"/>
      <c r="E1526" s="4"/>
      <c r="F1526" s="4"/>
      <c r="G1526" s="5"/>
      <c r="H1526" s="4"/>
      <c r="I1526" s="4"/>
      <c r="J1526" s="5"/>
      <c r="K1526" s="4"/>
      <c r="L1526" s="4"/>
      <c r="M1526" s="4"/>
      <c r="N1526" s="5"/>
      <c r="O1526" s="4"/>
    </row>
    <row r="1527" spans="1:15" x14ac:dyDescent="0.25">
      <c r="A1527" s="228"/>
    </row>
    <row r="1528" spans="1:15" x14ac:dyDescent="0.25">
      <c r="A1528" s="228"/>
      <c r="B1528" s="5"/>
      <c r="C1528" s="4"/>
      <c r="D1528" s="5"/>
      <c r="E1528" s="4"/>
      <c r="F1528" s="4"/>
      <c r="G1528" s="5"/>
      <c r="H1528" s="4"/>
      <c r="I1528" s="4"/>
      <c r="J1528" s="5"/>
      <c r="K1528" s="4"/>
      <c r="L1528" s="4"/>
      <c r="M1528" s="4"/>
      <c r="N1528" s="5"/>
      <c r="O1528" s="4"/>
    </row>
    <row r="1529" spans="1:15" x14ac:dyDescent="0.25">
      <c r="A1529" s="228"/>
    </row>
    <row r="1530" spans="1:15" x14ac:dyDescent="0.25">
      <c r="A1530" s="228"/>
    </row>
    <row r="1531" spans="1:15" x14ac:dyDescent="0.25">
      <c r="A1531" s="228"/>
      <c r="B1531" s="5"/>
      <c r="C1531" s="4"/>
      <c r="E1531" s="4"/>
      <c r="F1531" s="4"/>
      <c r="G1531" s="5"/>
      <c r="H1531" s="4"/>
      <c r="I1531" s="4"/>
      <c r="J1531" s="5"/>
      <c r="K1531" s="4"/>
      <c r="L1531" s="4"/>
      <c r="M1531" s="4"/>
      <c r="N1531" s="5"/>
      <c r="O1531" s="4"/>
    </row>
    <row r="1532" spans="1:15" x14ac:dyDescent="0.25">
      <c r="A1532" s="228"/>
    </row>
    <row r="1533" spans="1:15" x14ac:dyDescent="0.25">
      <c r="A1533" s="228"/>
      <c r="B1533" s="5"/>
      <c r="C1533" s="4"/>
      <c r="D1533" s="5"/>
      <c r="E1533" s="4"/>
      <c r="F1533" s="4"/>
      <c r="G1533" s="5"/>
      <c r="H1533" s="4"/>
      <c r="I1533" s="4"/>
      <c r="J1533" s="5"/>
      <c r="K1533" s="4"/>
      <c r="L1533" s="4"/>
      <c r="M1533" s="4"/>
      <c r="N1533" s="5"/>
      <c r="O1533" s="4"/>
    </row>
    <row r="1534" spans="1:15" x14ac:dyDescent="0.25">
      <c r="A1534" s="228"/>
    </row>
    <row r="1535" spans="1:15" x14ac:dyDescent="0.25">
      <c r="A1535" s="228"/>
    </row>
    <row r="1536" spans="1:15" x14ac:dyDescent="0.25">
      <c r="A1536" s="228"/>
    </row>
    <row r="1537" spans="1:21" x14ac:dyDescent="0.25">
      <c r="A1537" s="228"/>
    </row>
    <row r="1538" spans="1:21" x14ac:dyDescent="0.25">
      <c r="A1538" s="228"/>
    </row>
    <row r="1539" spans="1:21" x14ac:dyDescent="0.25">
      <c r="A1539" s="228"/>
    </row>
    <row r="1540" spans="1:21" x14ac:dyDescent="0.25">
      <c r="A1540" s="228"/>
    </row>
    <row r="1541" spans="1:21" x14ac:dyDescent="0.25">
      <c r="A1541" s="228"/>
      <c r="B1541" s="5"/>
      <c r="C1541" s="4"/>
      <c r="D1541" s="5"/>
      <c r="E1541" s="4"/>
      <c r="F1541" s="4"/>
      <c r="G1541" s="5"/>
      <c r="H1541" s="4"/>
      <c r="I1541" s="4"/>
      <c r="J1541" s="5"/>
      <c r="K1541" s="4"/>
      <c r="L1541" s="4"/>
      <c r="M1541" s="4"/>
      <c r="N1541" s="5"/>
      <c r="O1541" s="4"/>
    </row>
    <row r="1542" spans="1:21" x14ac:dyDescent="0.25">
      <c r="A1542" s="228"/>
    </row>
    <row r="1543" spans="1:21" x14ac:dyDescent="0.25">
      <c r="A1543" s="228"/>
      <c r="B1543" s="5"/>
      <c r="C1543" s="4"/>
      <c r="D1543" s="5"/>
      <c r="E1543" s="4"/>
      <c r="F1543" s="4"/>
      <c r="G1543" s="5"/>
      <c r="H1543" s="4"/>
      <c r="I1543" s="4"/>
      <c r="J1543" s="5"/>
      <c r="K1543" s="4"/>
      <c r="L1543" s="4"/>
      <c r="M1543" s="4"/>
      <c r="N1543" s="5"/>
      <c r="O1543" s="4"/>
    </row>
    <row r="1544" spans="1:21" x14ac:dyDescent="0.25">
      <c r="A1544" s="228"/>
    </row>
    <row r="1545" spans="1:21" x14ac:dyDescent="0.25">
      <c r="A1545" s="228"/>
    </row>
    <row r="1546" spans="1:21" x14ac:dyDescent="0.25">
      <c r="A1546" s="228"/>
    </row>
    <row r="1547" spans="1:21" x14ac:dyDescent="0.25">
      <c r="A1547" s="228"/>
      <c r="Q1547" s="5"/>
      <c r="R1547" s="281"/>
      <c r="T1547" s="149"/>
      <c r="U1547" s="4"/>
    </row>
    <row r="1548" spans="1:21" x14ac:dyDescent="0.25">
      <c r="A1548" s="228"/>
      <c r="B1548" s="5"/>
      <c r="C1548" s="4"/>
      <c r="D1548" s="5"/>
      <c r="E1548" s="4"/>
      <c r="F1548" s="4"/>
      <c r="G1548" s="5"/>
      <c r="H1548" s="4"/>
      <c r="I1548" s="4"/>
      <c r="J1548" s="5"/>
      <c r="K1548" s="4"/>
      <c r="L1548" s="4"/>
      <c r="M1548" s="4"/>
      <c r="N1548" s="5"/>
      <c r="O1548" s="4"/>
    </row>
    <row r="1549" spans="1:21" x14ac:dyDescent="0.25">
      <c r="A1549" s="228"/>
    </row>
    <row r="1550" spans="1:21" x14ac:dyDescent="0.25">
      <c r="A1550" s="228"/>
    </row>
    <row r="1551" spans="1:21" x14ac:dyDescent="0.25">
      <c r="A1551" s="228"/>
    </row>
    <row r="1552" spans="1:21" x14ac:dyDescent="0.25">
      <c r="A1552" s="228"/>
    </row>
    <row r="1553" spans="1:15" x14ac:dyDescent="0.25">
      <c r="A1553" s="228"/>
    </row>
    <row r="1554" spans="1:15" x14ac:dyDescent="0.25">
      <c r="A1554" s="228"/>
      <c r="B1554" s="5"/>
      <c r="C1554" s="4"/>
      <c r="D1554" s="5"/>
      <c r="E1554" s="4"/>
      <c r="F1554" s="4"/>
      <c r="G1554" s="5"/>
      <c r="H1554" s="4"/>
      <c r="I1554" s="4"/>
      <c r="J1554" s="5"/>
      <c r="K1554" s="4"/>
      <c r="L1554" s="4"/>
      <c r="M1554" s="4"/>
      <c r="N1554" s="5"/>
      <c r="O1554" s="4"/>
    </row>
    <row r="1555" spans="1:15" x14ac:dyDescent="0.25">
      <c r="A1555" s="228"/>
    </row>
    <row r="1556" spans="1:15" x14ac:dyDescent="0.25">
      <c r="A1556" s="228"/>
    </row>
    <row r="1557" spans="1:15" x14ac:dyDescent="0.25">
      <c r="A1557" s="228"/>
    </row>
    <row r="1558" spans="1:15" x14ac:dyDescent="0.25">
      <c r="A1558" s="228"/>
    </row>
    <row r="1559" spans="1:15" x14ac:dyDescent="0.25">
      <c r="A1559" s="228"/>
    </row>
    <row r="1560" spans="1:15" x14ac:dyDescent="0.25">
      <c r="A1560" s="228"/>
      <c r="B1560" s="5"/>
      <c r="C1560" s="4"/>
      <c r="D1560" s="5"/>
      <c r="E1560" s="4"/>
      <c r="F1560" s="4"/>
      <c r="G1560" s="5"/>
      <c r="H1560" s="4"/>
      <c r="I1560" s="4"/>
      <c r="J1560" s="5"/>
      <c r="K1560" s="4"/>
      <c r="L1560" s="4"/>
      <c r="M1560" s="4"/>
      <c r="O1560" s="4"/>
    </row>
    <row r="1561" spans="1:15" x14ac:dyDescent="0.25">
      <c r="A1561" s="228"/>
    </row>
    <row r="1562" spans="1:15" x14ac:dyDescent="0.25">
      <c r="A1562" s="228"/>
    </row>
    <row r="1563" spans="1:15" x14ac:dyDescent="0.25">
      <c r="A1563" s="228"/>
      <c r="B1563" s="5"/>
      <c r="C1563" s="4"/>
      <c r="D1563" s="5"/>
      <c r="E1563" s="4"/>
      <c r="F1563" s="4"/>
      <c r="G1563" s="5"/>
      <c r="H1563" s="4"/>
      <c r="I1563" s="4"/>
      <c r="J1563" s="5"/>
      <c r="K1563" s="4"/>
      <c r="L1563" s="4"/>
      <c r="M1563" s="4"/>
      <c r="N1563" s="5"/>
      <c r="O1563" s="4"/>
    </row>
    <row r="1564" spans="1:15" x14ac:dyDescent="0.25">
      <c r="A1564" s="228"/>
    </row>
    <row r="1565" spans="1:15" x14ac:dyDescent="0.25">
      <c r="A1565" s="228"/>
    </row>
    <row r="1566" spans="1:15" x14ac:dyDescent="0.25">
      <c r="A1566" s="228"/>
    </row>
    <row r="1567" spans="1:15" x14ac:dyDescent="0.25">
      <c r="A1567" s="228"/>
    </row>
    <row r="1568" spans="1:15" x14ac:dyDescent="0.25">
      <c r="A1568" s="228"/>
    </row>
    <row r="1569" spans="1:15" x14ac:dyDescent="0.25">
      <c r="A1569" s="228"/>
      <c r="B1569" s="5"/>
      <c r="C1569" s="4"/>
      <c r="D1569" s="5"/>
      <c r="E1569" s="4"/>
      <c r="F1569" s="4"/>
      <c r="G1569" s="5"/>
      <c r="H1569" s="4"/>
      <c r="I1569" s="4"/>
      <c r="J1569" s="5"/>
      <c r="K1569" s="4"/>
      <c r="L1569" s="4"/>
      <c r="M1569" s="4"/>
      <c r="N1569" s="5"/>
      <c r="O1569" s="4"/>
    </row>
    <row r="1570" spans="1:15" x14ac:dyDescent="0.25">
      <c r="A1570" s="228"/>
    </row>
    <row r="1571" spans="1:15" x14ac:dyDescent="0.25">
      <c r="A1571" s="228"/>
      <c r="B1571" s="5"/>
      <c r="C1571" s="4"/>
      <c r="D1571" s="5"/>
      <c r="E1571" s="4"/>
      <c r="F1571" s="4"/>
      <c r="G1571" s="5"/>
      <c r="H1571" s="4"/>
      <c r="I1571" s="4"/>
      <c r="J1571" s="5"/>
      <c r="K1571" s="4"/>
      <c r="L1571" s="4"/>
      <c r="M1571" s="4"/>
      <c r="N1571" s="5"/>
      <c r="O1571" s="4"/>
    </row>
    <row r="1572" spans="1:15" x14ac:dyDescent="0.25">
      <c r="A1572" s="228"/>
    </row>
    <row r="1573" spans="1:15" x14ac:dyDescent="0.25">
      <c r="A1573" s="228"/>
    </row>
    <row r="1574" spans="1:15" x14ac:dyDescent="0.25">
      <c r="A1574" s="228"/>
      <c r="B1574" s="5"/>
      <c r="C1574" s="4"/>
      <c r="D1574" s="5"/>
      <c r="E1574" s="4"/>
      <c r="F1574" s="4"/>
      <c r="G1574" s="5"/>
      <c r="H1574" s="4"/>
      <c r="I1574" s="4"/>
      <c r="J1574" s="5"/>
      <c r="K1574" s="4"/>
      <c r="L1574" s="4"/>
      <c r="M1574" s="4"/>
      <c r="N1574" s="5"/>
      <c r="O1574" s="4"/>
    </row>
    <row r="1575" spans="1:15" x14ac:dyDescent="0.25">
      <c r="A1575" s="228"/>
    </row>
    <row r="1576" spans="1:15" x14ac:dyDescent="0.25">
      <c r="A1576" s="228"/>
      <c r="B1576" s="5"/>
      <c r="C1576" s="4"/>
      <c r="D1576" s="5"/>
      <c r="E1576" s="4"/>
      <c r="F1576" s="4"/>
      <c r="G1576" s="5"/>
      <c r="H1576" s="4"/>
      <c r="I1576" s="4"/>
      <c r="J1576" s="5"/>
      <c r="K1576" s="4"/>
      <c r="L1576" s="4"/>
      <c r="M1576" s="4"/>
      <c r="N1576" s="5"/>
      <c r="O1576" s="4"/>
    </row>
    <row r="1577" spans="1:15" x14ac:dyDescent="0.25">
      <c r="A1577" s="228"/>
    </row>
    <row r="1578" spans="1:15" x14ac:dyDescent="0.25">
      <c r="A1578" s="228"/>
      <c r="B1578" s="5"/>
      <c r="C1578" s="4"/>
      <c r="E1578" s="4"/>
      <c r="F1578" s="4"/>
      <c r="G1578" s="5"/>
      <c r="H1578" s="4"/>
      <c r="I1578" s="4"/>
      <c r="J1578" s="5"/>
      <c r="K1578" s="4"/>
      <c r="L1578" s="4"/>
      <c r="M1578" s="4"/>
      <c r="N1578" s="5"/>
      <c r="O1578" s="4"/>
    </row>
    <row r="1579" spans="1:15" x14ac:dyDescent="0.25">
      <c r="A1579" s="228"/>
    </row>
    <row r="1580" spans="1:15" x14ac:dyDescent="0.25">
      <c r="A1580" s="228"/>
      <c r="B1580" s="5"/>
      <c r="C1580" s="4"/>
      <c r="D1580" s="5"/>
      <c r="E1580" s="4"/>
      <c r="F1580" s="4"/>
      <c r="G1580" s="5"/>
      <c r="H1580" s="4"/>
      <c r="I1580" s="4"/>
      <c r="J1580" s="5"/>
      <c r="K1580" s="4"/>
      <c r="L1580" s="4"/>
      <c r="M1580" s="4"/>
      <c r="N1580" s="5"/>
      <c r="O1580" s="4"/>
    </row>
    <row r="1581" spans="1:15" x14ac:dyDescent="0.25">
      <c r="A1581" s="228"/>
    </row>
    <row r="1582" spans="1:15" x14ac:dyDescent="0.25">
      <c r="A1582" s="228"/>
    </row>
    <row r="1583" spans="1:15" x14ac:dyDescent="0.25">
      <c r="A1583" s="228"/>
      <c r="C1583" s="4"/>
      <c r="F1583" s="4"/>
      <c r="J1583" s="5"/>
      <c r="N1583" s="5"/>
    </row>
    <row r="1584" spans="1:15" x14ac:dyDescent="0.25">
      <c r="A1584" s="228"/>
    </row>
    <row r="1585" spans="1:15" x14ac:dyDescent="0.25">
      <c r="A1585" s="228"/>
    </row>
    <row r="1586" spans="1:15" x14ac:dyDescent="0.25">
      <c r="A1586" s="228"/>
      <c r="B1586" s="5"/>
      <c r="C1586" s="4"/>
      <c r="E1586" s="4"/>
      <c r="J1586" s="5"/>
      <c r="N1586" s="5"/>
    </row>
    <row r="1587" spans="1:15" x14ac:dyDescent="0.25">
      <c r="A1587" s="228"/>
    </row>
    <row r="1588" spans="1:15" x14ac:dyDescent="0.25">
      <c r="A1588" s="228"/>
    </row>
    <row r="1589" spans="1:15" x14ac:dyDescent="0.25">
      <c r="A1589" s="228"/>
    </row>
    <row r="1590" spans="1:15" x14ac:dyDescent="0.25">
      <c r="A1590" s="228"/>
    </row>
    <row r="1591" spans="1:15" x14ac:dyDescent="0.25">
      <c r="A1591" s="228"/>
    </row>
    <row r="1592" spans="1:15" x14ac:dyDescent="0.25">
      <c r="A1592" s="228"/>
    </row>
    <row r="1593" spans="1:15" x14ac:dyDescent="0.25">
      <c r="A1593" s="228"/>
    </row>
    <row r="1594" spans="1:15" x14ac:dyDescent="0.25">
      <c r="A1594" s="228"/>
    </row>
    <row r="1595" spans="1:15" x14ac:dyDescent="0.25">
      <c r="A1595" s="228"/>
    </row>
    <row r="1596" spans="1:15" x14ac:dyDescent="0.25">
      <c r="A1596" s="228"/>
    </row>
    <row r="1597" spans="1:15" x14ac:dyDescent="0.25">
      <c r="A1597" s="228"/>
      <c r="B1597" s="5"/>
      <c r="C1597" s="4"/>
      <c r="J1597" s="5"/>
      <c r="N1597" s="5"/>
    </row>
    <row r="1598" spans="1:15" x14ac:dyDescent="0.25">
      <c r="A1598" s="228"/>
      <c r="B1598" s="5"/>
      <c r="C1598" s="4"/>
      <c r="D1598" s="5"/>
      <c r="E1598" s="4"/>
      <c r="F1598" s="4"/>
      <c r="G1598" s="5"/>
      <c r="H1598" s="4"/>
      <c r="I1598" s="4"/>
      <c r="J1598" s="5"/>
      <c r="K1598" s="4"/>
      <c r="L1598" s="4"/>
      <c r="M1598" s="4"/>
      <c r="N1598" s="5"/>
      <c r="O1598" s="4"/>
    </row>
    <row r="1599" spans="1:15" x14ac:dyDescent="0.25">
      <c r="A1599" s="228"/>
      <c r="B1599" s="5"/>
      <c r="C1599" s="4"/>
      <c r="D1599" s="5"/>
      <c r="E1599" s="4"/>
      <c r="F1599" s="4"/>
      <c r="G1599" s="5"/>
      <c r="H1599" s="4"/>
      <c r="I1599" s="4"/>
      <c r="J1599" s="5"/>
      <c r="K1599" s="4"/>
      <c r="L1599" s="4"/>
      <c r="M1599" s="4"/>
      <c r="N1599" s="5"/>
      <c r="O1599" s="4"/>
    </row>
    <row r="1600" spans="1:15" x14ac:dyDescent="0.25">
      <c r="A1600" s="228"/>
      <c r="B1600" s="5"/>
      <c r="C1600" s="4"/>
      <c r="D1600" s="5"/>
      <c r="E1600" s="4"/>
      <c r="F1600" s="4"/>
      <c r="G1600" s="5"/>
      <c r="H1600" s="4"/>
      <c r="I1600" s="4"/>
      <c r="J1600" s="5"/>
      <c r="K1600" s="4"/>
      <c r="L1600" s="4"/>
      <c r="M1600" s="4"/>
      <c r="N1600" s="5"/>
      <c r="O1600" s="4"/>
    </row>
    <row r="1601" spans="1:15" x14ac:dyDescent="0.25">
      <c r="A1601" s="228"/>
      <c r="B1601" s="5"/>
      <c r="C1601" s="4"/>
      <c r="D1601" s="5"/>
      <c r="E1601" s="4"/>
      <c r="F1601" s="4"/>
      <c r="G1601" s="5"/>
      <c r="H1601" s="4"/>
      <c r="I1601" s="4"/>
      <c r="J1601" s="5"/>
      <c r="K1601" s="4"/>
      <c r="L1601" s="4"/>
      <c r="M1601" s="4"/>
      <c r="N1601" s="5"/>
      <c r="O1601" s="4"/>
    </row>
    <row r="1602" spans="1:15" x14ac:dyDescent="0.25">
      <c r="A1602" s="228"/>
      <c r="B1602" s="5"/>
      <c r="C1602" s="4"/>
      <c r="D1602" s="5"/>
      <c r="E1602" s="4"/>
      <c r="F1602" s="4"/>
      <c r="G1602" s="5"/>
      <c r="H1602" s="4"/>
      <c r="I1602" s="4"/>
      <c r="J1602" s="5"/>
      <c r="K1602" s="4"/>
      <c r="L1602" s="4"/>
      <c r="M1602" s="4"/>
      <c r="N1602" s="5"/>
      <c r="O1602" s="4"/>
    </row>
    <row r="1603" spans="1:15" x14ac:dyDescent="0.25">
      <c r="A1603" s="228"/>
      <c r="B1603" s="5"/>
      <c r="C1603" s="4"/>
      <c r="D1603" s="5"/>
      <c r="E1603" s="4"/>
      <c r="F1603" s="4"/>
      <c r="G1603" s="5"/>
      <c r="H1603" s="4"/>
      <c r="I1603" s="4"/>
      <c r="J1603" s="5"/>
      <c r="K1603" s="4"/>
      <c r="L1603" s="4"/>
      <c r="M1603" s="4"/>
      <c r="N1603" s="5"/>
      <c r="O1603" s="4"/>
    </row>
    <row r="1604" spans="1:15" x14ac:dyDescent="0.25">
      <c r="A1604" s="228"/>
      <c r="B1604" s="5"/>
      <c r="C1604" s="4"/>
      <c r="J1604" s="5"/>
      <c r="N1604" s="5"/>
    </row>
    <row r="1605" spans="1:15" x14ac:dyDescent="0.25">
      <c r="A1605" s="228"/>
      <c r="B1605" s="5"/>
      <c r="C1605" s="4"/>
      <c r="D1605" s="5"/>
      <c r="E1605" s="4"/>
      <c r="F1605" s="4"/>
      <c r="G1605" s="5"/>
      <c r="H1605" s="4"/>
      <c r="I1605" s="4"/>
      <c r="J1605" s="5"/>
      <c r="K1605" s="4"/>
      <c r="L1605" s="4"/>
      <c r="M1605" s="4"/>
      <c r="N1605" s="5"/>
      <c r="O1605" s="4"/>
    </row>
    <row r="1606" spans="1:15" x14ac:dyDescent="0.25">
      <c r="A1606" s="228"/>
    </row>
    <row r="1607" spans="1:15" x14ac:dyDescent="0.25">
      <c r="A1607" s="228"/>
      <c r="B1607" s="5"/>
      <c r="C1607" s="4"/>
      <c r="D1607" s="5"/>
      <c r="E1607" s="4"/>
      <c r="F1607" s="4"/>
      <c r="G1607" s="5"/>
      <c r="H1607" s="4"/>
      <c r="I1607" s="4"/>
      <c r="J1607" s="5"/>
      <c r="K1607" s="4"/>
      <c r="L1607" s="4"/>
      <c r="M1607" s="4"/>
      <c r="N1607" s="5"/>
      <c r="O1607" s="4"/>
    </row>
    <row r="1608" spans="1:15" x14ac:dyDescent="0.25">
      <c r="A1608" s="228"/>
      <c r="B1608" s="5"/>
      <c r="C1608" s="4"/>
      <c r="D1608" s="5"/>
      <c r="E1608" s="4"/>
      <c r="F1608" s="4"/>
      <c r="G1608" s="5"/>
      <c r="H1608" s="4"/>
      <c r="I1608" s="4"/>
      <c r="J1608" s="5"/>
      <c r="K1608" s="4"/>
      <c r="L1608" s="4"/>
      <c r="M1608" s="4"/>
      <c r="N1608" s="5"/>
      <c r="O1608" s="4"/>
    </row>
    <row r="1609" spans="1:15" x14ac:dyDescent="0.25">
      <c r="A1609" s="228"/>
    </row>
    <row r="1610" spans="1:15" x14ac:dyDescent="0.25">
      <c r="A1610" s="228"/>
      <c r="B1610" s="5"/>
      <c r="C1610" s="4"/>
      <c r="D1610" s="5"/>
      <c r="E1610" s="4"/>
      <c r="F1610" s="4"/>
      <c r="G1610" s="5"/>
      <c r="H1610" s="4"/>
      <c r="I1610" s="4"/>
      <c r="J1610" s="5"/>
      <c r="K1610" s="4"/>
      <c r="L1610" s="4"/>
      <c r="M1610" s="4"/>
      <c r="N1610" s="5"/>
      <c r="O1610" s="4"/>
    </row>
    <row r="1611" spans="1:15" x14ac:dyDescent="0.25">
      <c r="A1611" s="228"/>
      <c r="B1611" s="5"/>
      <c r="C1611" s="4"/>
      <c r="D1611" s="5"/>
      <c r="E1611" s="4"/>
      <c r="F1611" s="4"/>
      <c r="G1611" s="5"/>
      <c r="H1611" s="4"/>
      <c r="I1611" s="4"/>
      <c r="J1611" s="5"/>
      <c r="K1611" s="4"/>
      <c r="L1611" s="4"/>
      <c r="M1611" s="4"/>
      <c r="N1611" s="5"/>
      <c r="O1611" s="4"/>
    </row>
    <row r="1612" spans="1:15" x14ac:dyDescent="0.25">
      <c r="A1612" s="228"/>
    </row>
    <row r="1613" spans="1:15" x14ac:dyDescent="0.25">
      <c r="A1613" s="228"/>
      <c r="B1613" s="5"/>
      <c r="C1613" s="4"/>
      <c r="D1613" s="5"/>
      <c r="E1613" s="4"/>
      <c r="F1613" s="4"/>
      <c r="G1613" s="5"/>
      <c r="H1613" s="4"/>
      <c r="I1613" s="4"/>
      <c r="J1613" s="5"/>
      <c r="K1613" s="4"/>
      <c r="L1613" s="4"/>
      <c r="M1613" s="4"/>
      <c r="N1613" s="5"/>
      <c r="O1613" s="4"/>
    </row>
    <row r="1614" spans="1:15" x14ac:dyDescent="0.25">
      <c r="A1614" s="228"/>
    </row>
    <row r="1615" spans="1:15" x14ac:dyDescent="0.25">
      <c r="A1615" s="228"/>
      <c r="C1615" s="4"/>
      <c r="J1615" s="5"/>
      <c r="N1615" s="5"/>
    </row>
    <row r="1616" spans="1:15" x14ac:dyDescent="0.25">
      <c r="A1616" s="228"/>
    </row>
    <row r="1617" spans="1:21" x14ac:dyDescent="0.25">
      <c r="A1617" s="228"/>
      <c r="B1617" s="5"/>
      <c r="C1617" s="4"/>
      <c r="D1617" s="5"/>
      <c r="E1617" s="4"/>
      <c r="F1617" s="4"/>
      <c r="G1617" s="5"/>
      <c r="H1617" s="4"/>
      <c r="I1617" s="4"/>
      <c r="J1617" s="5"/>
      <c r="K1617" s="4"/>
      <c r="L1617" s="4"/>
      <c r="M1617" s="4"/>
      <c r="N1617" s="5"/>
      <c r="O1617" s="4"/>
    </row>
    <row r="1618" spans="1:21" x14ac:dyDescent="0.25">
      <c r="A1618" s="228"/>
    </row>
    <row r="1619" spans="1:21" x14ac:dyDescent="0.25">
      <c r="A1619" s="228"/>
      <c r="B1619" s="5"/>
      <c r="C1619" s="4"/>
      <c r="D1619" s="5"/>
      <c r="E1619" s="4"/>
      <c r="F1619" s="4"/>
      <c r="G1619" s="5"/>
      <c r="H1619" s="4"/>
      <c r="I1619" s="4"/>
      <c r="J1619" s="5"/>
      <c r="K1619" s="4"/>
      <c r="L1619" s="4"/>
      <c r="M1619" s="4"/>
      <c r="N1619" s="5"/>
      <c r="O1619" s="4"/>
    </row>
    <row r="1620" spans="1:21" x14ac:dyDescent="0.25">
      <c r="A1620" s="228"/>
    </row>
    <row r="1621" spans="1:21" x14ac:dyDescent="0.25">
      <c r="A1621" s="228"/>
      <c r="B1621" s="5"/>
      <c r="C1621" s="4"/>
      <c r="D1621" s="5"/>
      <c r="E1621" s="4"/>
      <c r="F1621" s="4"/>
      <c r="G1621" s="5"/>
      <c r="H1621" s="4"/>
      <c r="I1621" s="4"/>
      <c r="J1621" s="5"/>
      <c r="K1621" s="4"/>
      <c r="L1621" s="4"/>
      <c r="M1621" s="4"/>
      <c r="N1621" s="5"/>
      <c r="O1621" s="4"/>
    </row>
    <row r="1622" spans="1:21" x14ac:dyDescent="0.25">
      <c r="A1622" s="228"/>
    </row>
    <row r="1623" spans="1:21" x14ac:dyDescent="0.25">
      <c r="A1623" s="228"/>
      <c r="C1623" s="4"/>
      <c r="D1623" s="5"/>
      <c r="E1623" s="4"/>
      <c r="F1623" s="4"/>
      <c r="G1623" s="5"/>
      <c r="H1623" s="4"/>
      <c r="I1623" s="4"/>
      <c r="J1623" s="5"/>
      <c r="K1623" s="4"/>
      <c r="L1623" s="4"/>
      <c r="M1623" s="4"/>
      <c r="N1623" s="5"/>
      <c r="O1623" s="4"/>
    </row>
    <row r="1624" spans="1:21" x14ac:dyDescent="0.25">
      <c r="A1624" s="228"/>
    </row>
    <row r="1625" spans="1:21" x14ac:dyDescent="0.25">
      <c r="A1625" s="228"/>
      <c r="B1625" s="5"/>
      <c r="C1625" s="4"/>
      <c r="D1625" s="5"/>
      <c r="E1625" s="4"/>
      <c r="F1625" s="4"/>
      <c r="G1625" s="5"/>
      <c r="H1625" s="4"/>
      <c r="I1625" s="4"/>
      <c r="J1625" s="5"/>
      <c r="K1625" s="4"/>
      <c r="L1625" s="4"/>
      <c r="M1625" s="4"/>
      <c r="N1625" s="5"/>
      <c r="O1625" s="4"/>
    </row>
    <row r="1626" spans="1:21" x14ac:dyDescent="0.25">
      <c r="A1626" s="228"/>
      <c r="E1626" s="4"/>
      <c r="F1626" s="4"/>
      <c r="G1626" s="5"/>
      <c r="H1626" s="4"/>
      <c r="I1626" s="4"/>
      <c r="J1626" s="5"/>
      <c r="K1626" s="4"/>
      <c r="L1626" s="4"/>
      <c r="M1626" s="4"/>
      <c r="N1626" s="5"/>
      <c r="O1626" s="4"/>
    </row>
    <row r="1627" spans="1:21" x14ac:dyDescent="0.25">
      <c r="A1627" s="228"/>
      <c r="C1627" s="4"/>
      <c r="J1627" s="5"/>
      <c r="N1627" s="5"/>
    </row>
    <row r="1628" spans="1:21" x14ac:dyDescent="0.25">
      <c r="A1628" s="228"/>
      <c r="B1628" s="151"/>
      <c r="C1628" s="150"/>
      <c r="D1628" s="151"/>
      <c r="E1628" s="150"/>
      <c r="F1628" s="150"/>
      <c r="G1628" s="151"/>
      <c r="H1628" s="150"/>
      <c r="I1628" s="150"/>
      <c r="J1628" s="151"/>
      <c r="K1628" s="150"/>
      <c r="L1628" s="150"/>
      <c r="M1628" s="150"/>
      <c r="N1628" s="151"/>
      <c r="O1628" s="150"/>
      <c r="P1628" s="151"/>
      <c r="Q1628" s="151"/>
      <c r="R1628" s="282"/>
      <c r="S1628" s="150"/>
      <c r="T1628" s="156"/>
      <c r="U1628" s="150"/>
    </row>
    <row r="1629" spans="1:21" x14ac:dyDescent="0.25">
      <c r="A1629" s="228"/>
      <c r="B1629" s="151"/>
      <c r="C1629" s="150"/>
      <c r="D1629" s="151"/>
      <c r="E1629" s="150"/>
      <c r="F1629" s="150"/>
      <c r="G1629" s="151"/>
      <c r="H1629" s="150"/>
      <c r="I1629" s="150"/>
      <c r="J1629" s="151"/>
      <c r="K1629" s="150"/>
      <c r="L1629" s="150"/>
      <c r="M1629" s="150"/>
      <c r="N1629" s="151"/>
      <c r="O1629" s="150"/>
      <c r="P1629" s="151"/>
      <c r="Q1629" s="151"/>
      <c r="R1629" s="282"/>
      <c r="S1629" s="150"/>
      <c r="T1629" s="156"/>
      <c r="U1629" s="150"/>
    </row>
    <row r="1630" spans="1:21" x14ac:dyDescent="0.25">
      <c r="A1630" s="228"/>
      <c r="B1630" s="151"/>
      <c r="C1630" s="150"/>
      <c r="D1630" s="151"/>
      <c r="E1630" s="150"/>
      <c r="F1630" s="150"/>
      <c r="G1630" s="151"/>
      <c r="H1630" s="150"/>
      <c r="I1630" s="150"/>
      <c r="J1630" s="151"/>
      <c r="K1630" s="150"/>
      <c r="L1630" s="150"/>
      <c r="M1630" s="150"/>
      <c r="N1630" s="151"/>
      <c r="O1630" s="150"/>
      <c r="P1630" s="151"/>
      <c r="Q1630" s="151"/>
      <c r="R1630" s="282"/>
      <c r="S1630" s="150"/>
      <c r="T1630" s="156"/>
      <c r="U1630" s="150"/>
    </row>
    <row r="1631" spans="1:21" x14ac:dyDescent="0.25">
      <c r="A1631" s="228"/>
      <c r="B1631" s="151"/>
      <c r="C1631" s="150"/>
      <c r="D1631" s="151"/>
      <c r="E1631" s="150"/>
      <c r="F1631" s="150"/>
      <c r="G1631" s="151"/>
      <c r="H1631" s="150"/>
      <c r="I1631" s="150"/>
      <c r="J1631" s="151"/>
      <c r="K1631" s="150"/>
      <c r="L1631" s="150"/>
      <c r="M1631" s="150"/>
      <c r="N1631" s="151"/>
      <c r="O1631" s="150"/>
      <c r="P1631" s="151"/>
      <c r="Q1631" s="151"/>
      <c r="R1631" s="282"/>
      <c r="S1631" s="150"/>
      <c r="T1631" s="156"/>
      <c r="U1631" s="150"/>
    </row>
    <row r="1632" spans="1:21" x14ac:dyDescent="0.25">
      <c r="A1632" s="228"/>
      <c r="B1632" s="151"/>
      <c r="C1632" s="150"/>
      <c r="D1632" s="151"/>
      <c r="E1632" s="150"/>
      <c r="F1632" s="150"/>
      <c r="G1632" s="151"/>
      <c r="H1632" s="150"/>
      <c r="I1632" s="150"/>
      <c r="J1632" s="151"/>
      <c r="K1632" s="150"/>
      <c r="L1632" s="150"/>
      <c r="M1632" s="150"/>
      <c r="N1632" s="151"/>
      <c r="O1632" s="150"/>
      <c r="P1632" s="151"/>
      <c r="Q1632" s="151"/>
      <c r="R1632" s="282"/>
      <c r="S1632" s="150"/>
      <c r="T1632" s="156"/>
      <c r="U1632" s="150"/>
    </row>
    <row r="1633" spans="1:21" x14ac:dyDescent="0.25">
      <c r="A1633" s="228"/>
      <c r="B1633" s="151"/>
      <c r="C1633" s="150"/>
      <c r="D1633" s="151"/>
      <c r="E1633" s="150"/>
      <c r="F1633" s="150"/>
      <c r="G1633" s="151"/>
      <c r="H1633" s="150"/>
      <c r="I1633" s="150"/>
      <c r="J1633" s="151"/>
      <c r="K1633" s="150"/>
      <c r="L1633" s="150"/>
      <c r="M1633" s="150"/>
      <c r="N1633" s="151"/>
      <c r="O1633" s="150"/>
      <c r="P1633" s="151"/>
      <c r="Q1633" s="151"/>
      <c r="R1633" s="282"/>
      <c r="S1633" s="150"/>
      <c r="T1633" s="156"/>
      <c r="U1633" s="150"/>
    </row>
    <row r="1634" spans="1:21" x14ac:dyDescent="0.25">
      <c r="A1634" s="228"/>
      <c r="B1634" s="151"/>
      <c r="C1634" s="150"/>
      <c r="D1634" s="151"/>
      <c r="E1634" s="150"/>
      <c r="F1634" s="150"/>
      <c r="G1634" s="151"/>
      <c r="H1634" s="150"/>
      <c r="I1634" s="150"/>
      <c r="J1634" s="151"/>
      <c r="K1634" s="150"/>
      <c r="L1634" s="150"/>
      <c r="M1634" s="150"/>
      <c r="N1634" s="151"/>
      <c r="O1634" s="150"/>
      <c r="P1634" s="151"/>
      <c r="Q1634" s="151"/>
      <c r="R1634" s="282"/>
      <c r="S1634" s="150"/>
      <c r="T1634" s="156"/>
      <c r="U1634" s="150"/>
    </row>
    <row r="1635" spans="1:21" x14ac:dyDescent="0.25">
      <c r="A1635" s="228"/>
      <c r="B1635" s="151"/>
      <c r="C1635" s="150"/>
      <c r="D1635" s="151"/>
      <c r="E1635" s="150"/>
      <c r="F1635" s="150"/>
      <c r="G1635" s="151"/>
      <c r="H1635" s="150"/>
      <c r="I1635" s="150"/>
      <c r="J1635" s="151"/>
      <c r="K1635" s="150"/>
      <c r="L1635" s="150"/>
      <c r="M1635" s="150"/>
      <c r="N1635" s="151"/>
      <c r="O1635" s="150"/>
      <c r="P1635" s="151"/>
      <c r="Q1635" s="151"/>
      <c r="R1635" s="282"/>
      <c r="S1635" s="150"/>
      <c r="T1635" s="156"/>
      <c r="U1635" s="150"/>
    </row>
    <row r="1636" spans="1:21" x14ac:dyDescent="0.25">
      <c r="A1636" s="228"/>
      <c r="B1636" s="151"/>
      <c r="C1636" s="150"/>
      <c r="D1636" s="151"/>
      <c r="E1636" s="150"/>
      <c r="F1636" s="150"/>
      <c r="G1636" s="151"/>
      <c r="H1636" s="150"/>
      <c r="I1636" s="150"/>
      <c r="J1636" s="151"/>
      <c r="K1636" s="150"/>
      <c r="L1636" s="150"/>
      <c r="M1636" s="150"/>
      <c r="N1636" s="151"/>
      <c r="O1636" s="150"/>
      <c r="P1636" s="151"/>
      <c r="Q1636" s="151"/>
      <c r="R1636" s="282"/>
      <c r="S1636" s="150"/>
      <c r="T1636" s="156"/>
      <c r="U1636" s="150"/>
    </row>
    <row r="1637" spans="1:21" x14ac:dyDescent="0.25">
      <c r="A1637" s="228"/>
      <c r="B1637" s="151"/>
      <c r="C1637" s="150"/>
      <c r="D1637" s="151"/>
      <c r="E1637" s="150"/>
      <c r="F1637" s="150"/>
      <c r="G1637" s="151"/>
      <c r="H1637" s="150"/>
      <c r="I1637" s="150"/>
      <c r="J1637" s="151"/>
      <c r="K1637" s="150"/>
      <c r="L1637" s="150"/>
      <c r="M1637" s="150"/>
      <c r="N1637" s="151"/>
      <c r="O1637" s="150"/>
      <c r="P1637" s="151"/>
      <c r="Q1637" s="151"/>
      <c r="R1637" s="282"/>
      <c r="S1637" s="150"/>
      <c r="T1637" s="156"/>
      <c r="U1637" s="150"/>
    </row>
    <row r="1638" spans="1:21" x14ac:dyDescent="0.25">
      <c r="A1638" s="228"/>
      <c r="B1638" s="151"/>
      <c r="C1638" s="150"/>
      <c r="D1638" s="151"/>
      <c r="E1638" s="150"/>
      <c r="F1638" s="150"/>
      <c r="G1638" s="151"/>
      <c r="H1638" s="150"/>
      <c r="I1638" s="150"/>
      <c r="J1638" s="151"/>
      <c r="K1638" s="150"/>
      <c r="L1638" s="150"/>
      <c r="M1638" s="150"/>
      <c r="N1638" s="151"/>
      <c r="O1638" s="150"/>
      <c r="P1638" s="151"/>
      <c r="Q1638" s="151"/>
      <c r="R1638" s="282"/>
      <c r="S1638" s="150"/>
      <c r="T1638" s="156"/>
      <c r="U1638" s="150"/>
    </row>
    <row r="1639" spans="1:21" x14ac:dyDescent="0.25">
      <c r="A1639" s="228"/>
      <c r="B1639" s="151"/>
      <c r="C1639" s="150"/>
      <c r="D1639" s="151"/>
      <c r="E1639" s="150"/>
      <c r="F1639" s="150"/>
      <c r="G1639" s="151"/>
      <c r="H1639" s="150"/>
      <c r="I1639" s="150"/>
      <c r="J1639" s="151"/>
      <c r="K1639" s="150"/>
      <c r="L1639" s="150"/>
      <c r="M1639" s="150"/>
      <c r="N1639" s="151"/>
      <c r="O1639" s="150"/>
      <c r="P1639" s="151"/>
      <c r="Q1639" s="151"/>
      <c r="R1639" s="282"/>
      <c r="S1639" s="150"/>
      <c r="T1639" s="156"/>
      <c r="U1639" s="150"/>
    </row>
    <row r="1640" spans="1:21" x14ac:dyDescent="0.25">
      <c r="A1640" s="228"/>
      <c r="B1640" s="151"/>
      <c r="C1640" s="150"/>
      <c r="D1640" s="151"/>
      <c r="E1640" s="150"/>
      <c r="F1640" s="150"/>
      <c r="G1640" s="151"/>
      <c r="H1640" s="150"/>
      <c r="I1640" s="150"/>
      <c r="J1640" s="151"/>
      <c r="K1640" s="150"/>
      <c r="L1640" s="150"/>
      <c r="M1640" s="150"/>
      <c r="N1640" s="151"/>
      <c r="O1640" s="150"/>
      <c r="P1640" s="151"/>
      <c r="Q1640" s="151"/>
      <c r="R1640" s="282"/>
      <c r="S1640" s="150"/>
      <c r="T1640" s="156"/>
      <c r="U1640" s="150"/>
    </row>
    <row r="1641" spans="1:21" x14ac:dyDescent="0.25">
      <c r="A1641" s="228"/>
      <c r="B1641" s="151"/>
      <c r="C1641" s="150"/>
      <c r="D1641" s="151"/>
      <c r="E1641" s="150"/>
      <c r="F1641" s="150"/>
      <c r="G1641" s="151"/>
      <c r="H1641" s="150"/>
      <c r="I1641" s="150"/>
      <c r="J1641" s="151"/>
      <c r="K1641" s="150"/>
      <c r="L1641" s="150"/>
      <c r="M1641" s="150"/>
      <c r="N1641" s="151"/>
      <c r="O1641" s="150"/>
      <c r="P1641" s="151"/>
      <c r="Q1641" s="151"/>
      <c r="R1641" s="282"/>
      <c r="S1641" s="150"/>
      <c r="T1641" s="156"/>
      <c r="U1641" s="150"/>
    </row>
    <row r="1642" spans="1:21" x14ac:dyDescent="0.25">
      <c r="A1642" s="228"/>
      <c r="B1642" s="151"/>
      <c r="C1642" s="150"/>
      <c r="D1642" s="151"/>
      <c r="E1642" s="150"/>
      <c r="F1642" s="150"/>
      <c r="G1642" s="151"/>
      <c r="H1642" s="150"/>
      <c r="I1642" s="150"/>
      <c r="J1642" s="151"/>
      <c r="K1642" s="150"/>
      <c r="L1642" s="150"/>
      <c r="M1642" s="150"/>
      <c r="N1642" s="151"/>
      <c r="O1642" s="150"/>
      <c r="P1642" s="151"/>
      <c r="Q1642" s="151"/>
      <c r="R1642" s="282"/>
      <c r="S1642" s="150"/>
      <c r="T1642" s="156"/>
      <c r="U1642" s="150"/>
    </row>
    <row r="1643" spans="1:21" x14ac:dyDescent="0.25">
      <c r="A1643" s="228"/>
      <c r="B1643" s="151"/>
      <c r="C1643" s="150"/>
      <c r="D1643" s="151"/>
      <c r="E1643" s="150"/>
      <c r="F1643" s="150"/>
      <c r="G1643" s="151"/>
      <c r="H1643" s="150"/>
      <c r="I1643" s="150"/>
      <c r="J1643" s="151"/>
      <c r="K1643" s="150"/>
      <c r="L1643" s="150"/>
      <c r="M1643" s="150"/>
      <c r="N1643" s="151"/>
      <c r="O1643" s="150"/>
      <c r="P1643" s="151"/>
      <c r="Q1643" s="151"/>
      <c r="R1643" s="282"/>
      <c r="S1643" s="150"/>
      <c r="T1643" s="156"/>
      <c r="U1643" s="150"/>
    </row>
    <row r="1644" spans="1:21" x14ac:dyDescent="0.25">
      <c r="A1644" s="228"/>
      <c r="B1644" s="151"/>
      <c r="C1644" s="150"/>
      <c r="D1644" s="151"/>
      <c r="E1644" s="150"/>
      <c r="F1644" s="150"/>
      <c r="G1644" s="151"/>
      <c r="H1644" s="150"/>
      <c r="I1644" s="150"/>
      <c r="J1644" s="151"/>
      <c r="K1644" s="150"/>
      <c r="L1644" s="150"/>
      <c r="M1644" s="150"/>
      <c r="N1644" s="151"/>
      <c r="O1644" s="150"/>
      <c r="P1644" s="151"/>
      <c r="Q1644" s="151"/>
      <c r="R1644" s="282"/>
      <c r="S1644" s="150"/>
      <c r="T1644" s="156"/>
      <c r="U1644" s="150"/>
    </row>
    <row r="1645" spans="1:21" x14ac:dyDescent="0.25">
      <c r="A1645" s="228"/>
      <c r="B1645" s="151"/>
      <c r="C1645" s="150"/>
      <c r="D1645" s="151"/>
      <c r="E1645" s="150"/>
      <c r="F1645" s="150"/>
      <c r="G1645" s="151"/>
      <c r="H1645" s="150"/>
      <c r="I1645" s="150"/>
      <c r="J1645" s="151"/>
      <c r="K1645" s="150"/>
      <c r="L1645" s="150"/>
      <c r="M1645" s="150"/>
      <c r="N1645" s="151"/>
      <c r="O1645" s="150"/>
      <c r="P1645" s="151"/>
      <c r="Q1645" s="151"/>
      <c r="R1645" s="282"/>
      <c r="S1645" s="150"/>
      <c r="T1645" s="156"/>
      <c r="U1645" s="150"/>
    </row>
    <row r="1646" spans="1:21" x14ac:dyDescent="0.25">
      <c r="A1646" s="228"/>
      <c r="B1646" s="151"/>
      <c r="C1646" s="150"/>
      <c r="D1646" s="151"/>
      <c r="E1646" s="150"/>
      <c r="F1646" s="150"/>
      <c r="G1646" s="151"/>
      <c r="H1646" s="150"/>
      <c r="I1646" s="150"/>
      <c r="J1646" s="151"/>
      <c r="K1646" s="150"/>
      <c r="L1646" s="150"/>
      <c r="M1646" s="150"/>
      <c r="N1646" s="151"/>
      <c r="O1646" s="150"/>
      <c r="P1646" s="151"/>
      <c r="Q1646" s="151"/>
      <c r="R1646" s="282"/>
      <c r="S1646" s="150"/>
      <c r="T1646" s="156"/>
      <c r="U1646" s="150"/>
    </row>
    <row r="1647" spans="1:21" x14ac:dyDescent="0.25">
      <c r="A1647" s="228"/>
      <c r="B1647" s="151"/>
      <c r="C1647" s="150"/>
      <c r="D1647" s="151"/>
      <c r="E1647" s="150"/>
      <c r="F1647" s="150"/>
      <c r="G1647" s="151"/>
      <c r="H1647" s="150"/>
      <c r="I1647" s="150"/>
      <c r="J1647" s="151"/>
      <c r="K1647" s="150"/>
      <c r="L1647" s="150"/>
      <c r="M1647" s="150"/>
      <c r="N1647" s="151"/>
      <c r="O1647" s="150"/>
      <c r="P1647" s="151"/>
      <c r="Q1647" s="151"/>
      <c r="R1647" s="282"/>
      <c r="S1647" s="150"/>
      <c r="T1647" s="156"/>
      <c r="U1647" s="150"/>
    </row>
    <row r="1648" spans="1:21" x14ac:dyDescent="0.25">
      <c r="A1648" s="228"/>
      <c r="B1648" s="151"/>
      <c r="C1648" s="150"/>
      <c r="D1648" s="151"/>
      <c r="E1648" s="150"/>
      <c r="F1648" s="150"/>
      <c r="G1648" s="151"/>
      <c r="H1648" s="150"/>
      <c r="I1648" s="150"/>
      <c r="J1648" s="151"/>
      <c r="K1648" s="150"/>
      <c r="L1648" s="150"/>
      <c r="M1648" s="150"/>
      <c r="N1648" s="151"/>
      <c r="O1648" s="150"/>
      <c r="P1648" s="151"/>
      <c r="Q1648" s="151"/>
      <c r="R1648" s="282"/>
      <c r="S1648" s="150"/>
      <c r="T1648" s="156"/>
      <c r="U1648" s="150"/>
    </row>
    <row r="1649" spans="1:21" x14ac:dyDescent="0.25">
      <c r="A1649" s="228"/>
      <c r="B1649" s="151"/>
      <c r="C1649" s="150"/>
      <c r="D1649" s="151"/>
      <c r="E1649" s="150"/>
      <c r="F1649" s="150"/>
      <c r="G1649" s="151"/>
      <c r="H1649" s="150"/>
      <c r="I1649" s="150"/>
      <c r="J1649" s="151"/>
      <c r="K1649" s="150"/>
      <c r="L1649" s="150"/>
      <c r="M1649" s="150"/>
      <c r="N1649" s="151"/>
      <c r="O1649" s="150"/>
      <c r="P1649" s="151"/>
      <c r="Q1649" s="151"/>
      <c r="R1649" s="282"/>
      <c r="S1649" s="150"/>
      <c r="T1649" s="156"/>
      <c r="U1649" s="150"/>
    </row>
    <row r="1650" spans="1:21" x14ac:dyDescent="0.25">
      <c r="A1650" s="228"/>
      <c r="B1650" s="151"/>
      <c r="C1650" s="150"/>
      <c r="D1650" s="151"/>
      <c r="E1650" s="150"/>
      <c r="F1650" s="150"/>
      <c r="G1650" s="151"/>
      <c r="H1650" s="150"/>
      <c r="I1650" s="150"/>
      <c r="J1650" s="151"/>
      <c r="K1650" s="150"/>
      <c r="L1650" s="150"/>
      <c r="M1650" s="150"/>
      <c r="N1650" s="151"/>
      <c r="O1650" s="150"/>
      <c r="P1650" s="151"/>
      <c r="Q1650" s="151"/>
      <c r="R1650" s="282"/>
      <c r="S1650" s="150"/>
      <c r="T1650" s="156"/>
      <c r="U1650" s="150"/>
    </row>
    <row r="1651" spans="1:21" x14ac:dyDescent="0.25">
      <c r="A1651" s="228"/>
      <c r="B1651" s="151"/>
      <c r="C1651" s="150"/>
      <c r="D1651" s="151"/>
      <c r="E1651" s="150"/>
      <c r="F1651" s="150"/>
      <c r="G1651" s="151"/>
      <c r="H1651" s="150"/>
      <c r="I1651" s="150"/>
      <c r="J1651" s="151"/>
      <c r="K1651" s="150"/>
      <c r="L1651" s="150"/>
      <c r="M1651" s="150"/>
      <c r="N1651" s="151"/>
      <c r="O1651" s="150"/>
      <c r="P1651" s="151"/>
      <c r="Q1651" s="151"/>
      <c r="R1651" s="282"/>
      <c r="S1651" s="150"/>
      <c r="T1651" s="156"/>
      <c r="U1651" s="150"/>
    </row>
    <row r="1652" spans="1:21" x14ac:dyDescent="0.25">
      <c r="A1652" s="228"/>
      <c r="B1652" s="151"/>
      <c r="C1652" s="150"/>
      <c r="D1652" s="151"/>
      <c r="E1652" s="150"/>
      <c r="F1652" s="150"/>
      <c r="G1652" s="151"/>
      <c r="H1652" s="150"/>
      <c r="I1652" s="150"/>
      <c r="J1652" s="151"/>
      <c r="K1652" s="150"/>
      <c r="L1652" s="150"/>
      <c r="M1652" s="150"/>
      <c r="N1652" s="151"/>
      <c r="O1652" s="150"/>
      <c r="P1652" s="151"/>
      <c r="Q1652" s="151"/>
      <c r="R1652" s="282"/>
      <c r="S1652" s="150"/>
      <c r="T1652" s="156"/>
      <c r="U1652" s="150"/>
    </row>
    <row r="1653" spans="1:21" x14ac:dyDescent="0.25">
      <c r="A1653" s="228"/>
      <c r="B1653" s="151"/>
      <c r="C1653" s="150"/>
      <c r="D1653" s="151"/>
      <c r="E1653" s="150"/>
      <c r="F1653" s="150"/>
      <c r="G1653" s="151"/>
      <c r="H1653" s="150"/>
      <c r="I1653" s="150"/>
      <c r="J1653" s="151"/>
      <c r="K1653" s="150"/>
      <c r="L1653" s="150"/>
      <c r="M1653" s="150"/>
      <c r="N1653" s="151"/>
      <c r="O1653" s="150"/>
      <c r="P1653" s="151"/>
      <c r="Q1653" s="151"/>
      <c r="R1653" s="282"/>
      <c r="S1653" s="150"/>
      <c r="T1653" s="156"/>
      <c r="U1653" s="150"/>
    </row>
    <row r="1654" spans="1:21" x14ac:dyDescent="0.25">
      <c r="A1654" s="228"/>
      <c r="B1654" s="151"/>
      <c r="C1654" s="150"/>
      <c r="D1654" s="151"/>
      <c r="E1654" s="150"/>
      <c r="F1654" s="150"/>
      <c r="G1654" s="151"/>
      <c r="H1654" s="150"/>
      <c r="I1654" s="150"/>
      <c r="J1654" s="151"/>
      <c r="K1654" s="150"/>
      <c r="L1654" s="150"/>
      <c r="M1654" s="150"/>
      <c r="N1654" s="151"/>
      <c r="O1654" s="150"/>
      <c r="P1654" s="151"/>
      <c r="Q1654" s="151"/>
      <c r="R1654" s="282"/>
      <c r="S1654" s="150"/>
      <c r="T1654" s="156"/>
      <c r="U1654" s="150"/>
    </row>
    <row r="1655" spans="1:21" x14ac:dyDescent="0.25">
      <c r="A1655" s="228"/>
      <c r="B1655" s="151"/>
      <c r="C1655" s="150"/>
      <c r="D1655" s="151"/>
      <c r="E1655" s="150"/>
      <c r="F1655" s="150"/>
      <c r="G1655" s="151"/>
      <c r="H1655" s="150"/>
      <c r="I1655" s="150"/>
      <c r="J1655" s="151"/>
      <c r="K1655" s="150"/>
      <c r="L1655" s="150"/>
      <c r="M1655" s="150"/>
      <c r="N1655" s="151"/>
      <c r="O1655" s="150"/>
      <c r="P1655" s="151"/>
      <c r="Q1655" s="151"/>
      <c r="R1655" s="282"/>
      <c r="S1655" s="150"/>
      <c r="T1655" s="156"/>
      <c r="U1655" s="150"/>
    </row>
    <row r="1656" spans="1:21" x14ac:dyDescent="0.25">
      <c r="A1656" s="228"/>
      <c r="B1656" s="151"/>
      <c r="C1656" s="150"/>
      <c r="D1656" s="151"/>
      <c r="E1656" s="150"/>
      <c r="F1656" s="150"/>
      <c r="G1656" s="151"/>
      <c r="H1656" s="150"/>
      <c r="I1656" s="150"/>
      <c r="J1656" s="151"/>
      <c r="K1656" s="150"/>
      <c r="L1656" s="150"/>
      <c r="M1656" s="150"/>
      <c r="N1656" s="151"/>
      <c r="O1656" s="150"/>
      <c r="P1656" s="151"/>
      <c r="Q1656" s="151"/>
      <c r="R1656" s="282"/>
      <c r="S1656" s="150"/>
      <c r="T1656" s="156"/>
      <c r="U1656" s="150"/>
    </row>
    <row r="1657" spans="1:21" x14ac:dyDescent="0.25">
      <c r="A1657" s="228"/>
      <c r="B1657" s="151"/>
      <c r="C1657" s="150"/>
      <c r="D1657" s="151"/>
      <c r="E1657" s="150"/>
      <c r="F1657" s="150"/>
      <c r="G1657" s="151"/>
      <c r="H1657" s="150"/>
      <c r="I1657" s="150"/>
      <c r="J1657" s="151"/>
      <c r="K1657" s="150"/>
      <c r="L1657" s="150"/>
      <c r="M1657" s="150"/>
      <c r="N1657" s="151"/>
      <c r="O1657" s="150"/>
      <c r="P1657" s="151"/>
      <c r="Q1657" s="151"/>
      <c r="R1657" s="282"/>
      <c r="S1657" s="150"/>
      <c r="T1657" s="156"/>
      <c r="U1657" s="150"/>
    </row>
    <row r="1658" spans="1:21" x14ac:dyDescent="0.25">
      <c r="A1658" s="228"/>
      <c r="B1658" s="151"/>
      <c r="C1658" s="150"/>
      <c r="D1658" s="151"/>
      <c r="E1658" s="150"/>
      <c r="F1658" s="150"/>
      <c r="G1658" s="151"/>
      <c r="H1658" s="150"/>
      <c r="I1658" s="150"/>
      <c r="J1658" s="151"/>
      <c r="K1658" s="150"/>
      <c r="L1658" s="150"/>
      <c r="M1658" s="150"/>
      <c r="N1658" s="151"/>
      <c r="O1658" s="150"/>
      <c r="P1658" s="151"/>
      <c r="Q1658" s="151"/>
      <c r="R1658" s="282"/>
      <c r="S1658" s="150"/>
      <c r="T1658" s="156"/>
      <c r="U1658" s="150"/>
    </row>
    <row r="1659" spans="1:21" x14ac:dyDescent="0.25">
      <c r="A1659" s="228"/>
      <c r="B1659" s="151"/>
      <c r="C1659" s="150"/>
      <c r="D1659" s="151"/>
      <c r="E1659" s="150"/>
      <c r="F1659" s="150"/>
      <c r="G1659" s="151"/>
      <c r="H1659" s="150"/>
      <c r="I1659" s="150"/>
      <c r="J1659" s="151"/>
      <c r="K1659" s="150"/>
      <c r="L1659" s="150"/>
      <c r="M1659" s="150"/>
      <c r="N1659" s="151"/>
      <c r="O1659" s="150"/>
      <c r="P1659" s="151"/>
      <c r="Q1659" s="151"/>
      <c r="R1659" s="282"/>
      <c r="S1659" s="150"/>
      <c r="T1659" s="156"/>
      <c r="U1659" s="150"/>
    </row>
    <row r="1660" spans="1:21" x14ac:dyDescent="0.25">
      <c r="A1660" s="228"/>
      <c r="B1660" s="151"/>
      <c r="C1660" s="150"/>
      <c r="D1660" s="151"/>
      <c r="E1660" s="150"/>
      <c r="F1660" s="150"/>
      <c r="G1660" s="151"/>
      <c r="H1660" s="150"/>
      <c r="I1660" s="150"/>
      <c r="J1660" s="151"/>
      <c r="K1660" s="150"/>
      <c r="L1660" s="150"/>
      <c r="M1660" s="150"/>
      <c r="N1660" s="151"/>
      <c r="O1660" s="150"/>
      <c r="P1660" s="151"/>
      <c r="Q1660" s="151"/>
      <c r="R1660" s="282"/>
      <c r="S1660" s="150"/>
      <c r="T1660" s="156"/>
      <c r="U1660" s="150"/>
    </row>
    <row r="1661" spans="1:21" x14ac:dyDescent="0.25">
      <c r="A1661" s="228"/>
      <c r="B1661" s="151"/>
      <c r="C1661" s="150"/>
      <c r="D1661" s="151"/>
      <c r="E1661" s="150"/>
      <c r="F1661" s="150"/>
      <c r="G1661" s="151"/>
      <c r="H1661" s="150"/>
      <c r="I1661" s="150"/>
      <c r="J1661" s="151"/>
      <c r="K1661" s="150"/>
      <c r="L1661" s="150"/>
      <c r="M1661" s="150"/>
      <c r="N1661" s="151"/>
      <c r="O1661" s="150"/>
      <c r="P1661" s="151"/>
      <c r="Q1661" s="151"/>
      <c r="R1661" s="282"/>
      <c r="S1661" s="150"/>
      <c r="T1661" s="156"/>
      <c r="U1661" s="150"/>
    </row>
    <row r="1662" spans="1:21" x14ac:dyDescent="0.25">
      <c r="A1662" s="228"/>
      <c r="B1662" s="151"/>
      <c r="C1662" s="150"/>
      <c r="D1662" s="151"/>
      <c r="E1662" s="150"/>
      <c r="F1662" s="150"/>
      <c r="G1662" s="151"/>
      <c r="H1662" s="150"/>
      <c r="I1662" s="150"/>
      <c r="J1662" s="151"/>
      <c r="K1662" s="150"/>
      <c r="L1662" s="150"/>
      <c r="M1662" s="150"/>
      <c r="N1662" s="151"/>
      <c r="O1662" s="150"/>
      <c r="P1662" s="151"/>
      <c r="Q1662" s="151"/>
      <c r="R1662" s="282"/>
      <c r="S1662" s="150"/>
      <c r="T1662" s="156"/>
      <c r="U1662" s="150"/>
    </row>
    <row r="1663" spans="1:21" x14ac:dyDescent="0.25">
      <c r="A1663" s="228"/>
      <c r="B1663" s="151"/>
      <c r="C1663" s="150"/>
      <c r="D1663" s="151"/>
      <c r="E1663" s="150"/>
      <c r="F1663" s="150"/>
      <c r="G1663" s="151"/>
      <c r="H1663" s="150"/>
      <c r="I1663" s="150"/>
      <c r="J1663" s="151"/>
      <c r="K1663" s="150"/>
      <c r="L1663" s="150"/>
      <c r="M1663" s="150"/>
      <c r="N1663" s="151"/>
      <c r="O1663" s="150"/>
      <c r="P1663" s="151"/>
      <c r="Q1663" s="151"/>
      <c r="R1663" s="282"/>
      <c r="S1663" s="150"/>
      <c r="T1663" s="156"/>
      <c r="U1663" s="150"/>
    </row>
    <row r="1664" spans="1:21" x14ac:dyDescent="0.25">
      <c r="A1664" s="228"/>
      <c r="B1664" s="151"/>
      <c r="C1664" s="150"/>
      <c r="D1664" s="151"/>
      <c r="E1664" s="150"/>
      <c r="F1664" s="150"/>
      <c r="G1664" s="151"/>
      <c r="H1664" s="150"/>
      <c r="I1664" s="150"/>
      <c r="J1664" s="151"/>
      <c r="K1664" s="150"/>
      <c r="L1664" s="150"/>
      <c r="M1664" s="150"/>
      <c r="N1664" s="151"/>
      <c r="O1664" s="150"/>
      <c r="P1664" s="151"/>
      <c r="Q1664" s="151"/>
      <c r="R1664" s="282"/>
      <c r="S1664" s="150"/>
      <c r="T1664" s="156"/>
      <c r="U1664" s="150"/>
    </row>
    <row r="1665" spans="1:21" x14ac:dyDescent="0.25">
      <c r="A1665" s="228"/>
      <c r="B1665" s="151"/>
      <c r="C1665" s="150"/>
      <c r="D1665" s="151"/>
      <c r="E1665" s="150"/>
      <c r="F1665" s="150"/>
      <c r="G1665" s="151"/>
      <c r="H1665" s="150"/>
      <c r="I1665" s="150"/>
      <c r="J1665" s="151"/>
      <c r="K1665" s="150"/>
      <c r="L1665" s="150"/>
      <c r="M1665" s="150"/>
      <c r="N1665" s="151"/>
      <c r="O1665" s="150"/>
      <c r="P1665" s="151"/>
      <c r="Q1665" s="151"/>
      <c r="R1665" s="282"/>
      <c r="S1665" s="150"/>
      <c r="T1665" s="156"/>
      <c r="U1665" s="150"/>
    </row>
    <row r="1666" spans="1:21" x14ac:dyDescent="0.25">
      <c r="A1666" s="228"/>
      <c r="B1666" s="151"/>
      <c r="C1666" s="150"/>
      <c r="D1666" s="151"/>
      <c r="E1666" s="150"/>
      <c r="F1666" s="150"/>
      <c r="G1666" s="151"/>
      <c r="H1666" s="150"/>
      <c r="I1666" s="150"/>
      <c r="J1666" s="151"/>
      <c r="K1666" s="150"/>
      <c r="L1666" s="150"/>
      <c r="M1666" s="150"/>
      <c r="N1666" s="151"/>
      <c r="O1666" s="150"/>
      <c r="P1666" s="151"/>
      <c r="Q1666" s="151"/>
      <c r="R1666" s="282"/>
      <c r="S1666" s="150"/>
      <c r="T1666" s="156"/>
      <c r="U1666" s="150"/>
    </row>
    <row r="1667" spans="1:21" x14ac:dyDescent="0.25">
      <c r="A1667" s="228"/>
      <c r="B1667" s="151"/>
      <c r="C1667" s="150"/>
      <c r="D1667" s="151"/>
      <c r="E1667" s="150"/>
      <c r="F1667" s="150"/>
      <c r="G1667" s="151"/>
      <c r="H1667" s="150"/>
      <c r="I1667" s="150"/>
      <c r="J1667" s="151"/>
      <c r="K1667" s="150"/>
      <c r="L1667" s="150"/>
      <c r="M1667" s="150"/>
      <c r="N1667" s="151"/>
      <c r="O1667" s="150"/>
      <c r="P1667" s="151"/>
      <c r="Q1667" s="151"/>
      <c r="R1667" s="282"/>
      <c r="S1667" s="150"/>
      <c r="T1667" s="156"/>
      <c r="U1667" s="150"/>
    </row>
    <row r="1668" spans="1:21" x14ac:dyDescent="0.25">
      <c r="A1668" s="228"/>
      <c r="B1668" s="151"/>
      <c r="C1668" s="150"/>
      <c r="D1668" s="151"/>
      <c r="E1668" s="150"/>
      <c r="F1668" s="150"/>
      <c r="G1668" s="151"/>
      <c r="H1668" s="150"/>
      <c r="I1668" s="150"/>
      <c r="J1668" s="151"/>
      <c r="K1668" s="150"/>
      <c r="L1668" s="150"/>
      <c r="M1668" s="150"/>
      <c r="N1668" s="151"/>
      <c r="O1668" s="150"/>
      <c r="P1668" s="151"/>
      <c r="Q1668" s="151"/>
      <c r="R1668" s="282"/>
      <c r="S1668" s="150"/>
      <c r="T1668" s="156"/>
      <c r="U1668" s="150"/>
    </row>
    <row r="1669" spans="1:21" x14ac:dyDescent="0.25">
      <c r="A1669" s="228"/>
      <c r="B1669" s="151"/>
      <c r="C1669" s="150"/>
      <c r="D1669" s="151"/>
      <c r="E1669" s="150"/>
      <c r="F1669" s="150"/>
      <c r="G1669" s="151"/>
      <c r="H1669" s="150"/>
      <c r="I1669" s="150"/>
      <c r="J1669" s="151"/>
      <c r="K1669" s="150"/>
      <c r="L1669" s="150"/>
      <c r="M1669" s="150"/>
      <c r="N1669" s="151"/>
      <c r="O1669" s="150"/>
      <c r="P1669" s="151"/>
      <c r="Q1669" s="151"/>
      <c r="R1669" s="282"/>
      <c r="S1669" s="150"/>
      <c r="T1669" s="156"/>
      <c r="U1669" s="150"/>
    </row>
    <row r="1670" spans="1:21" x14ac:dyDescent="0.25">
      <c r="A1670" s="228"/>
      <c r="B1670" s="151"/>
      <c r="C1670" s="150"/>
      <c r="D1670" s="151"/>
      <c r="E1670" s="150"/>
      <c r="F1670" s="150"/>
      <c r="G1670" s="151"/>
      <c r="H1670" s="150"/>
      <c r="I1670" s="150"/>
      <c r="J1670" s="151"/>
      <c r="K1670" s="150"/>
      <c r="L1670" s="150"/>
      <c r="M1670" s="150"/>
      <c r="N1670" s="151"/>
      <c r="O1670" s="150"/>
      <c r="P1670" s="151"/>
      <c r="Q1670" s="151"/>
      <c r="R1670" s="282"/>
      <c r="S1670" s="150"/>
      <c r="T1670" s="156"/>
      <c r="U1670" s="150"/>
    </row>
    <row r="1671" spans="1:21" x14ac:dyDescent="0.25">
      <c r="A1671" s="228"/>
      <c r="B1671" s="151"/>
      <c r="C1671" s="150"/>
      <c r="D1671" s="151"/>
      <c r="E1671" s="150"/>
      <c r="F1671" s="150"/>
      <c r="G1671" s="151"/>
      <c r="H1671" s="150"/>
      <c r="I1671" s="150"/>
      <c r="J1671" s="151"/>
      <c r="K1671" s="150"/>
      <c r="L1671" s="150"/>
      <c r="M1671" s="150"/>
      <c r="N1671" s="151"/>
      <c r="O1671" s="150"/>
      <c r="P1671" s="151"/>
      <c r="Q1671" s="151"/>
      <c r="R1671" s="282"/>
      <c r="S1671" s="150"/>
      <c r="T1671" s="156"/>
      <c r="U1671" s="150"/>
    </row>
    <row r="1672" spans="1:21" x14ac:dyDescent="0.25">
      <c r="A1672" s="228"/>
      <c r="B1672" s="151"/>
      <c r="C1672" s="150"/>
      <c r="D1672" s="151"/>
      <c r="E1672" s="150"/>
      <c r="F1672" s="150"/>
      <c r="G1672" s="151"/>
      <c r="H1672" s="150"/>
      <c r="I1672" s="150"/>
      <c r="J1672" s="151"/>
      <c r="K1672" s="150"/>
      <c r="L1672" s="150"/>
      <c r="M1672" s="150"/>
      <c r="N1672" s="151"/>
      <c r="O1672" s="150"/>
      <c r="P1672" s="151"/>
      <c r="Q1672" s="151"/>
      <c r="R1672" s="282"/>
      <c r="S1672" s="150"/>
      <c r="T1672" s="156"/>
      <c r="U1672" s="150"/>
    </row>
    <row r="1673" spans="1:21" x14ac:dyDescent="0.25">
      <c r="A1673" s="228"/>
      <c r="B1673" s="151"/>
      <c r="C1673" s="150"/>
      <c r="D1673" s="151"/>
      <c r="E1673" s="150"/>
      <c r="F1673" s="150"/>
      <c r="G1673" s="151"/>
      <c r="H1673" s="150"/>
      <c r="I1673" s="150"/>
      <c r="J1673" s="151"/>
      <c r="K1673" s="150"/>
      <c r="L1673" s="150"/>
      <c r="M1673" s="150"/>
      <c r="N1673" s="151"/>
      <c r="O1673" s="150"/>
      <c r="P1673" s="151"/>
      <c r="Q1673" s="151"/>
      <c r="R1673" s="282"/>
      <c r="S1673" s="150"/>
      <c r="T1673" s="156"/>
      <c r="U1673" s="150"/>
    </row>
    <row r="1674" spans="1:21" x14ac:dyDescent="0.25">
      <c r="A1674" s="228"/>
      <c r="B1674" s="151"/>
      <c r="C1674" s="150"/>
      <c r="D1674" s="151"/>
      <c r="E1674" s="150"/>
      <c r="F1674" s="150"/>
      <c r="G1674" s="151"/>
      <c r="H1674" s="150"/>
      <c r="I1674" s="150"/>
      <c r="J1674" s="151"/>
      <c r="K1674" s="150"/>
      <c r="L1674" s="150"/>
      <c r="M1674" s="150"/>
      <c r="N1674" s="151"/>
      <c r="O1674" s="150"/>
      <c r="P1674" s="151"/>
      <c r="Q1674" s="151"/>
      <c r="R1674" s="282"/>
      <c r="S1674" s="150"/>
      <c r="T1674" s="156"/>
      <c r="U1674" s="150"/>
    </row>
    <row r="1675" spans="1:21" x14ac:dyDescent="0.25">
      <c r="A1675" s="228"/>
      <c r="B1675" s="151"/>
      <c r="C1675" s="150"/>
      <c r="D1675" s="151"/>
      <c r="E1675" s="150"/>
      <c r="F1675" s="150"/>
      <c r="G1675" s="151"/>
      <c r="H1675" s="150"/>
      <c r="I1675" s="150"/>
      <c r="J1675" s="151"/>
      <c r="K1675" s="150"/>
      <c r="L1675" s="150"/>
      <c r="M1675" s="150"/>
      <c r="N1675" s="151"/>
      <c r="O1675" s="150"/>
      <c r="P1675" s="151"/>
      <c r="Q1675" s="151"/>
      <c r="R1675" s="282"/>
      <c r="S1675" s="150"/>
      <c r="T1675" s="156"/>
      <c r="U1675" s="150"/>
    </row>
    <row r="1676" spans="1:21" x14ac:dyDescent="0.25">
      <c r="A1676" s="228"/>
      <c r="B1676" s="151"/>
      <c r="C1676" s="150"/>
      <c r="D1676" s="151"/>
      <c r="E1676" s="150"/>
      <c r="F1676" s="150"/>
      <c r="G1676" s="151"/>
      <c r="H1676" s="150"/>
      <c r="I1676" s="150"/>
      <c r="J1676" s="151"/>
      <c r="K1676" s="150"/>
      <c r="L1676" s="150"/>
      <c r="M1676" s="150"/>
      <c r="N1676" s="151"/>
      <c r="O1676" s="150"/>
      <c r="P1676" s="151"/>
      <c r="Q1676" s="151"/>
      <c r="R1676" s="282"/>
      <c r="S1676" s="150"/>
      <c r="T1676" s="156"/>
      <c r="U1676" s="150"/>
    </row>
    <row r="1677" spans="1:21" x14ac:dyDescent="0.25">
      <c r="A1677" s="228"/>
      <c r="B1677" s="151"/>
      <c r="C1677" s="150"/>
      <c r="D1677" s="151"/>
      <c r="E1677" s="150"/>
      <c r="F1677" s="150"/>
      <c r="G1677" s="151"/>
      <c r="H1677" s="150"/>
      <c r="I1677" s="150"/>
      <c r="J1677" s="151"/>
      <c r="K1677" s="150"/>
      <c r="L1677" s="150"/>
      <c r="M1677" s="150"/>
      <c r="N1677" s="151"/>
      <c r="O1677" s="150"/>
      <c r="P1677" s="151"/>
      <c r="Q1677" s="151"/>
      <c r="R1677" s="282"/>
      <c r="S1677" s="150"/>
      <c r="T1677" s="156"/>
      <c r="U1677" s="150"/>
    </row>
    <row r="1678" spans="1:21" x14ac:dyDescent="0.25">
      <c r="A1678" s="228"/>
      <c r="B1678" s="151"/>
      <c r="C1678" s="150"/>
      <c r="D1678" s="151"/>
      <c r="E1678" s="150"/>
      <c r="F1678" s="150"/>
      <c r="G1678" s="151"/>
      <c r="H1678" s="150"/>
      <c r="I1678" s="150"/>
      <c r="J1678" s="151"/>
      <c r="K1678" s="150"/>
      <c r="L1678" s="150"/>
      <c r="M1678" s="150"/>
      <c r="N1678" s="151"/>
      <c r="O1678" s="150"/>
      <c r="P1678" s="151"/>
      <c r="Q1678" s="151"/>
      <c r="R1678" s="282"/>
      <c r="S1678" s="150"/>
      <c r="T1678" s="156"/>
      <c r="U1678" s="150"/>
    </row>
    <row r="1679" spans="1:21" x14ac:dyDescent="0.25">
      <c r="A1679" s="228"/>
      <c r="B1679" s="151"/>
      <c r="C1679" s="150"/>
      <c r="D1679" s="151"/>
      <c r="E1679" s="150"/>
      <c r="F1679" s="150"/>
      <c r="G1679" s="151"/>
      <c r="H1679" s="150"/>
      <c r="I1679" s="150"/>
      <c r="J1679" s="151"/>
      <c r="K1679" s="150"/>
      <c r="L1679" s="150"/>
      <c r="M1679" s="150"/>
      <c r="N1679" s="151"/>
      <c r="O1679" s="150"/>
      <c r="P1679" s="151"/>
      <c r="Q1679" s="151"/>
      <c r="R1679" s="282"/>
      <c r="S1679" s="150"/>
      <c r="T1679" s="156"/>
      <c r="U1679" s="150"/>
    </row>
    <row r="1680" spans="1:21" x14ac:dyDescent="0.25">
      <c r="A1680" s="228"/>
      <c r="B1680" s="151"/>
      <c r="C1680" s="150"/>
      <c r="D1680" s="151"/>
      <c r="E1680" s="150"/>
      <c r="F1680" s="150"/>
      <c r="G1680" s="151"/>
      <c r="H1680" s="150"/>
      <c r="I1680" s="150"/>
      <c r="J1680" s="151"/>
      <c r="K1680" s="150"/>
      <c r="L1680" s="150"/>
      <c r="M1680" s="150"/>
      <c r="N1680" s="151"/>
      <c r="O1680" s="150"/>
      <c r="P1680" s="151"/>
      <c r="Q1680" s="151"/>
      <c r="R1680" s="282"/>
      <c r="S1680" s="150"/>
      <c r="T1680" s="156"/>
      <c r="U1680" s="150"/>
    </row>
    <row r="1681" spans="1:21" x14ac:dyDescent="0.25">
      <c r="A1681" s="228"/>
      <c r="B1681" s="151"/>
      <c r="C1681" s="150"/>
      <c r="D1681" s="151"/>
      <c r="E1681" s="150"/>
      <c r="F1681" s="150"/>
      <c r="G1681" s="151"/>
      <c r="H1681" s="150"/>
      <c r="I1681" s="150"/>
      <c r="J1681" s="151"/>
      <c r="K1681" s="150"/>
      <c r="L1681" s="150"/>
      <c r="M1681" s="150"/>
      <c r="N1681" s="151"/>
      <c r="O1681" s="150"/>
      <c r="P1681" s="151"/>
      <c r="Q1681" s="151"/>
      <c r="R1681" s="282"/>
      <c r="S1681" s="150"/>
      <c r="T1681" s="156"/>
      <c r="U1681" s="150"/>
    </row>
    <row r="1682" spans="1:21" x14ac:dyDescent="0.25">
      <c r="A1682" s="228"/>
      <c r="B1682" s="151"/>
      <c r="C1682" s="150"/>
      <c r="D1682" s="151"/>
      <c r="E1682" s="150"/>
      <c r="F1682" s="150"/>
      <c r="G1682" s="151"/>
      <c r="H1682" s="150"/>
      <c r="I1682" s="150"/>
      <c r="J1682" s="151"/>
      <c r="K1682" s="150"/>
      <c r="L1682" s="150"/>
      <c r="M1682" s="150"/>
      <c r="N1682" s="151"/>
      <c r="O1682" s="150"/>
      <c r="P1682" s="151"/>
      <c r="Q1682" s="151"/>
      <c r="R1682" s="282"/>
      <c r="S1682" s="150"/>
      <c r="T1682" s="156"/>
      <c r="U1682" s="150"/>
    </row>
    <row r="1683" spans="1:21" x14ac:dyDescent="0.25">
      <c r="A1683" s="228"/>
      <c r="B1683" s="151"/>
      <c r="C1683" s="150"/>
      <c r="D1683" s="151"/>
      <c r="E1683" s="150"/>
      <c r="F1683" s="150"/>
      <c r="G1683" s="151"/>
      <c r="H1683" s="150"/>
      <c r="I1683" s="150"/>
      <c r="J1683" s="151"/>
      <c r="K1683" s="150"/>
      <c r="L1683" s="150"/>
      <c r="M1683" s="150"/>
      <c r="N1683" s="151"/>
      <c r="O1683" s="150"/>
      <c r="P1683" s="151"/>
      <c r="Q1683" s="151"/>
      <c r="R1683" s="282"/>
      <c r="S1683" s="150"/>
      <c r="T1683" s="156"/>
      <c r="U1683" s="150"/>
    </row>
    <row r="1684" spans="1:21" x14ac:dyDescent="0.25">
      <c r="A1684" s="228"/>
      <c r="B1684" s="151"/>
      <c r="C1684" s="150"/>
      <c r="D1684" s="151"/>
      <c r="E1684" s="150"/>
      <c r="F1684" s="150"/>
      <c r="G1684" s="151"/>
      <c r="H1684" s="150"/>
      <c r="I1684" s="150"/>
      <c r="J1684" s="151"/>
      <c r="K1684" s="150"/>
      <c r="L1684" s="150"/>
      <c r="M1684" s="150"/>
      <c r="N1684" s="151"/>
      <c r="O1684" s="150"/>
      <c r="P1684" s="151"/>
      <c r="Q1684" s="151"/>
      <c r="R1684" s="282"/>
      <c r="S1684" s="150"/>
      <c r="T1684" s="156"/>
      <c r="U1684" s="150"/>
    </row>
    <row r="1685" spans="1:21" x14ac:dyDescent="0.25">
      <c r="A1685" s="228"/>
      <c r="B1685" s="151"/>
      <c r="C1685" s="150"/>
      <c r="D1685" s="151"/>
      <c r="E1685" s="150"/>
      <c r="F1685" s="150"/>
      <c r="G1685" s="151"/>
      <c r="H1685" s="150"/>
      <c r="I1685" s="150"/>
      <c r="J1685" s="151"/>
      <c r="K1685" s="150"/>
      <c r="L1685" s="150"/>
      <c r="M1685" s="150"/>
      <c r="N1685" s="151"/>
      <c r="O1685" s="150"/>
      <c r="P1685" s="151"/>
      <c r="Q1685" s="151"/>
      <c r="R1685" s="282"/>
      <c r="S1685" s="150"/>
      <c r="T1685" s="156"/>
      <c r="U1685" s="150"/>
    </row>
    <row r="1686" spans="1:21" x14ac:dyDescent="0.25">
      <c r="A1686" s="228"/>
      <c r="B1686" s="151"/>
      <c r="C1686" s="150"/>
      <c r="D1686" s="151"/>
      <c r="E1686" s="150"/>
      <c r="F1686" s="150"/>
      <c r="G1686" s="151"/>
      <c r="H1686" s="150"/>
      <c r="I1686" s="150"/>
      <c r="J1686" s="151"/>
      <c r="K1686" s="150"/>
      <c r="L1686" s="150"/>
      <c r="M1686" s="150"/>
      <c r="N1686" s="151"/>
      <c r="O1686" s="150"/>
      <c r="P1686" s="151"/>
      <c r="Q1686" s="151"/>
      <c r="R1686" s="282"/>
      <c r="S1686" s="150"/>
      <c r="T1686" s="156"/>
      <c r="U1686" s="150"/>
    </row>
    <row r="1687" spans="1:21" x14ac:dyDescent="0.25">
      <c r="A1687" s="228"/>
      <c r="B1687" s="151"/>
      <c r="C1687" s="150"/>
      <c r="D1687" s="151"/>
      <c r="E1687" s="150"/>
      <c r="F1687" s="150"/>
      <c r="G1687" s="151"/>
      <c r="H1687" s="150"/>
      <c r="I1687" s="150"/>
      <c r="J1687" s="151"/>
      <c r="K1687" s="150"/>
      <c r="L1687" s="150"/>
      <c r="M1687" s="150"/>
      <c r="N1687" s="151"/>
      <c r="O1687" s="150"/>
      <c r="P1687" s="151"/>
      <c r="Q1687" s="151"/>
      <c r="R1687" s="282"/>
      <c r="S1687" s="150"/>
      <c r="T1687" s="156"/>
      <c r="U1687" s="150"/>
    </row>
    <row r="1688" spans="1:21" x14ac:dyDescent="0.25">
      <c r="A1688" s="228"/>
      <c r="B1688" s="151"/>
      <c r="C1688" s="150"/>
      <c r="D1688" s="151"/>
      <c r="E1688" s="150"/>
      <c r="F1688" s="150"/>
      <c r="G1688" s="151"/>
      <c r="H1688" s="150"/>
      <c r="I1688" s="150"/>
      <c r="J1688" s="151"/>
      <c r="K1688" s="150"/>
      <c r="L1688" s="150"/>
      <c r="M1688" s="150"/>
      <c r="N1688" s="151"/>
      <c r="O1688" s="150"/>
      <c r="P1688" s="151"/>
      <c r="Q1688" s="151"/>
      <c r="R1688" s="282"/>
      <c r="S1688" s="150"/>
      <c r="T1688" s="156"/>
      <c r="U1688" s="150"/>
    </row>
    <row r="1689" spans="1:21" x14ac:dyDescent="0.25">
      <c r="A1689" s="228"/>
      <c r="B1689" s="151"/>
      <c r="C1689" s="150"/>
      <c r="D1689" s="151"/>
      <c r="E1689" s="150"/>
      <c r="F1689" s="150"/>
      <c r="G1689" s="151"/>
      <c r="H1689" s="150"/>
      <c r="I1689" s="150"/>
      <c r="J1689" s="151"/>
      <c r="K1689" s="150"/>
      <c r="L1689" s="150"/>
      <c r="M1689" s="150"/>
      <c r="N1689" s="151"/>
      <c r="O1689" s="150"/>
      <c r="P1689" s="151"/>
      <c r="Q1689" s="151"/>
      <c r="R1689" s="282"/>
      <c r="S1689" s="150"/>
      <c r="T1689" s="156"/>
      <c r="U1689" s="150"/>
    </row>
    <row r="1690" spans="1:21" x14ac:dyDescent="0.25">
      <c r="A1690" s="228"/>
      <c r="B1690" s="151"/>
      <c r="C1690" s="150"/>
      <c r="D1690" s="151"/>
      <c r="E1690" s="150"/>
      <c r="F1690" s="150"/>
      <c r="G1690" s="151"/>
      <c r="H1690" s="150"/>
      <c r="I1690" s="150"/>
      <c r="J1690" s="151"/>
      <c r="K1690" s="150"/>
      <c r="L1690" s="150"/>
      <c r="M1690" s="150"/>
      <c r="N1690" s="151"/>
      <c r="O1690" s="150"/>
      <c r="P1690" s="151"/>
      <c r="Q1690" s="151"/>
      <c r="R1690" s="282"/>
      <c r="S1690" s="150"/>
      <c r="T1690" s="156"/>
      <c r="U1690" s="150"/>
    </row>
    <row r="1691" spans="1:21" x14ac:dyDescent="0.25">
      <c r="A1691" s="228"/>
      <c r="B1691" s="151"/>
      <c r="C1691" s="150"/>
      <c r="D1691" s="151"/>
      <c r="E1691" s="150"/>
      <c r="F1691" s="150"/>
      <c r="G1691" s="151"/>
      <c r="H1691" s="150"/>
      <c r="I1691" s="150"/>
      <c r="J1691" s="151"/>
      <c r="K1691" s="150"/>
      <c r="L1691" s="150"/>
      <c r="M1691" s="150"/>
      <c r="N1691" s="151"/>
      <c r="O1691" s="150"/>
      <c r="P1691" s="151"/>
      <c r="Q1691" s="151"/>
      <c r="R1691" s="282"/>
      <c r="S1691" s="150"/>
      <c r="T1691" s="156"/>
      <c r="U1691" s="150"/>
    </row>
    <row r="1692" spans="1:21" x14ac:dyDescent="0.25">
      <c r="A1692" s="228"/>
      <c r="B1692" s="151"/>
      <c r="C1692" s="150"/>
      <c r="D1692" s="151"/>
      <c r="E1692" s="150"/>
      <c r="F1692" s="150"/>
      <c r="G1692" s="151"/>
      <c r="H1692" s="150"/>
      <c r="I1692" s="150"/>
      <c r="J1692" s="151"/>
      <c r="K1692" s="150"/>
      <c r="L1692" s="150"/>
      <c r="M1692" s="150"/>
      <c r="N1692" s="151"/>
      <c r="O1692" s="150"/>
      <c r="P1692" s="151"/>
      <c r="Q1692" s="151"/>
      <c r="R1692" s="282"/>
      <c r="S1692" s="150"/>
      <c r="T1692" s="156"/>
      <c r="U1692" s="150"/>
    </row>
    <row r="1693" spans="1:21" x14ac:dyDescent="0.25">
      <c r="A1693" s="228"/>
      <c r="B1693" s="151"/>
      <c r="C1693" s="150"/>
      <c r="D1693" s="151"/>
      <c r="E1693" s="150"/>
      <c r="F1693" s="150"/>
      <c r="G1693" s="151"/>
      <c r="H1693" s="150"/>
      <c r="I1693" s="150"/>
      <c r="J1693" s="151"/>
      <c r="K1693" s="150"/>
      <c r="L1693" s="150"/>
      <c r="M1693" s="150"/>
      <c r="N1693" s="151"/>
      <c r="O1693" s="150"/>
      <c r="P1693" s="151"/>
      <c r="Q1693" s="151"/>
      <c r="R1693" s="282"/>
      <c r="S1693" s="150"/>
      <c r="T1693" s="156"/>
      <c r="U1693" s="150"/>
    </row>
    <row r="1694" spans="1:21" x14ac:dyDescent="0.25">
      <c r="A1694" s="228"/>
      <c r="B1694" s="151"/>
      <c r="C1694" s="150"/>
      <c r="D1694" s="151"/>
      <c r="E1694" s="150"/>
      <c r="F1694" s="150"/>
      <c r="G1694" s="151"/>
      <c r="H1694" s="150"/>
      <c r="I1694" s="150"/>
      <c r="J1694" s="151"/>
      <c r="K1694" s="150"/>
      <c r="L1694" s="150"/>
      <c r="M1694" s="150"/>
      <c r="N1694" s="151"/>
      <c r="O1694" s="150"/>
      <c r="P1694" s="151"/>
      <c r="Q1694" s="151"/>
      <c r="R1694" s="282"/>
      <c r="S1694" s="150"/>
      <c r="T1694" s="156"/>
      <c r="U1694" s="150"/>
    </row>
    <row r="1695" spans="1:21" x14ac:dyDescent="0.25">
      <c r="A1695" s="228"/>
      <c r="B1695" s="151"/>
      <c r="C1695" s="150"/>
      <c r="D1695" s="151"/>
      <c r="E1695" s="150"/>
      <c r="F1695" s="150"/>
      <c r="G1695" s="151"/>
      <c r="H1695" s="150"/>
      <c r="I1695" s="150"/>
      <c r="J1695" s="151"/>
      <c r="K1695" s="150"/>
      <c r="L1695" s="150"/>
      <c r="M1695" s="150"/>
      <c r="N1695" s="151"/>
      <c r="O1695" s="150"/>
      <c r="P1695" s="151"/>
      <c r="Q1695" s="151"/>
      <c r="R1695" s="282"/>
      <c r="S1695" s="150"/>
      <c r="T1695" s="156"/>
      <c r="U1695" s="150"/>
    </row>
    <row r="1696" spans="1:21" x14ac:dyDescent="0.25">
      <c r="A1696" s="228"/>
      <c r="B1696" s="151"/>
      <c r="C1696" s="150"/>
      <c r="D1696" s="151"/>
      <c r="E1696" s="150"/>
      <c r="F1696" s="150"/>
      <c r="G1696" s="151"/>
      <c r="H1696" s="150"/>
      <c r="I1696" s="150"/>
      <c r="J1696" s="151"/>
      <c r="K1696" s="150"/>
      <c r="L1696" s="150"/>
      <c r="M1696" s="150"/>
      <c r="N1696" s="151"/>
      <c r="O1696" s="150"/>
      <c r="P1696" s="151"/>
      <c r="Q1696" s="151"/>
      <c r="R1696" s="282"/>
      <c r="S1696" s="150"/>
      <c r="T1696" s="156"/>
      <c r="U1696" s="150"/>
    </row>
    <row r="1697" spans="1:23" x14ac:dyDescent="0.25">
      <c r="A1697" s="228"/>
      <c r="B1697" s="151"/>
      <c r="C1697" s="150"/>
      <c r="D1697" s="151"/>
      <c r="E1697" s="150"/>
      <c r="F1697" s="150"/>
      <c r="G1697" s="151"/>
      <c r="H1697" s="150"/>
      <c r="I1697" s="150"/>
      <c r="J1697" s="151"/>
      <c r="K1697" s="150"/>
      <c r="L1697" s="150"/>
      <c r="M1697" s="150"/>
      <c r="N1697" s="151"/>
      <c r="O1697" s="150"/>
      <c r="P1697" s="151"/>
      <c r="Q1697" s="151"/>
      <c r="R1697" s="282"/>
      <c r="S1697" s="150"/>
      <c r="T1697" s="156"/>
      <c r="U1697" s="150"/>
    </row>
    <row r="1698" spans="1:23" x14ac:dyDescent="0.25">
      <c r="A1698" s="228"/>
      <c r="B1698" s="151"/>
      <c r="C1698" s="150"/>
      <c r="D1698" s="151"/>
      <c r="E1698" s="150"/>
      <c r="F1698" s="150"/>
      <c r="G1698" s="151"/>
      <c r="H1698" s="150"/>
      <c r="I1698" s="150"/>
      <c r="J1698" s="151"/>
      <c r="K1698" s="150"/>
      <c r="L1698" s="150"/>
      <c r="M1698" s="150"/>
      <c r="N1698" s="151"/>
      <c r="O1698" s="150"/>
      <c r="P1698" s="151"/>
      <c r="Q1698" s="151"/>
      <c r="R1698" s="282"/>
      <c r="S1698" s="150"/>
      <c r="T1698" s="156"/>
      <c r="U1698" s="150"/>
    </row>
    <row r="1699" spans="1:23" x14ac:dyDescent="0.25">
      <c r="A1699" s="228"/>
      <c r="B1699" s="151"/>
      <c r="C1699" s="150"/>
      <c r="D1699" s="151"/>
      <c r="E1699" s="150"/>
      <c r="F1699" s="150"/>
      <c r="G1699" s="151"/>
      <c r="H1699" s="150"/>
      <c r="I1699" s="150"/>
      <c r="J1699" s="151"/>
      <c r="K1699" s="150"/>
      <c r="L1699" s="150"/>
      <c r="M1699" s="150"/>
      <c r="N1699" s="151"/>
      <c r="O1699" s="150"/>
      <c r="P1699" s="151"/>
      <c r="Q1699" s="151"/>
      <c r="R1699" s="282"/>
      <c r="S1699" s="150"/>
      <c r="T1699" s="156"/>
      <c r="U1699" s="150"/>
    </row>
    <row r="1700" spans="1:23" x14ac:dyDescent="0.25">
      <c r="A1700" s="228"/>
      <c r="B1700" s="151"/>
      <c r="C1700" s="150"/>
      <c r="D1700" s="151"/>
      <c r="E1700" s="150"/>
      <c r="F1700" s="150"/>
      <c r="G1700" s="151"/>
      <c r="H1700" s="150"/>
      <c r="I1700" s="150"/>
      <c r="J1700" s="151"/>
      <c r="K1700" s="150"/>
      <c r="L1700" s="150"/>
      <c r="M1700" s="150"/>
      <c r="N1700" s="151"/>
      <c r="O1700" s="150"/>
      <c r="P1700" s="151"/>
      <c r="Q1700" s="151"/>
      <c r="R1700" s="282"/>
      <c r="S1700" s="150"/>
      <c r="T1700" s="156"/>
      <c r="U1700" s="150"/>
    </row>
    <row r="1701" spans="1:23" x14ac:dyDescent="0.25">
      <c r="A1701" s="228"/>
      <c r="B1701" s="151"/>
      <c r="C1701" s="150"/>
      <c r="D1701" s="151"/>
      <c r="E1701" s="150"/>
      <c r="F1701" s="150"/>
      <c r="G1701" s="151"/>
      <c r="H1701" s="150"/>
      <c r="I1701" s="150"/>
      <c r="J1701" s="151"/>
      <c r="K1701" s="150"/>
      <c r="L1701" s="150"/>
      <c r="M1701" s="150"/>
      <c r="N1701" s="151"/>
      <c r="O1701" s="150"/>
      <c r="P1701" s="151"/>
      <c r="Q1701" s="151"/>
      <c r="R1701" s="282"/>
      <c r="S1701" s="150"/>
      <c r="T1701" s="156"/>
      <c r="U1701" s="150"/>
    </row>
    <row r="1702" spans="1:23" x14ac:dyDescent="0.25">
      <c r="A1702" s="228"/>
      <c r="B1702" s="151"/>
      <c r="C1702" s="150"/>
      <c r="D1702" s="151"/>
      <c r="E1702" s="150"/>
      <c r="F1702" s="150"/>
      <c r="G1702" s="151"/>
      <c r="H1702" s="150"/>
      <c r="I1702" s="150"/>
      <c r="J1702" s="151"/>
      <c r="K1702" s="150"/>
      <c r="L1702" s="150"/>
      <c r="M1702" s="150"/>
      <c r="N1702" s="151"/>
      <c r="O1702" s="150"/>
      <c r="P1702" s="151"/>
      <c r="Q1702" s="151"/>
      <c r="R1702" s="282"/>
      <c r="S1702" s="150"/>
      <c r="T1702" s="156"/>
      <c r="U1702" s="150"/>
    </row>
    <row r="1703" spans="1:23" x14ac:dyDescent="0.25">
      <c r="A1703" s="228"/>
      <c r="B1703" s="151"/>
      <c r="C1703" s="150"/>
      <c r="D1703" s="151"/>
      <c r="E1703" s="150"/>
      <c r="F1703" s="150"/>
      <c r="G1703" s="151"/>
      <c r="H1703" s="150"/>
      <c r="I1703" s="150"/>
      <c r="J1703" s="151"/>
      <c r="K1703" s="150"/>
      <c r="L1703" s="150"/>
      <c r="M1703" s="150"/>
      <c r="N1703" s="151"/>
      <c r="O1703" s="150"/>
      <c r="P1703" s="151"/>
      <c r="Q1703" s="151"/>
      <c r="R1703" s="282"/>
      <c r="S1703" s="150"/>
      <c r="T1703" s="156"/>
      <c r="U1703" s="150"/>
    </row>
    <row r="1704" spans="1:23" x14ac:dyDescent="0.25">
      <c r="A1704" s="228"/>
      <c r="B1704" s="151"/>
      <c r="C1704" s="150"/>
      <c r="D1704" s="151"/>
      <c r="E1704" s="150"/>
      <c r="F1704" s="150"/>
      <c r="G1704" s="151"/>
      <c r="H1704" s="150"/>
      <c r="I1704" s="150"/>
      <c r="J1704" s="151"/>
      <c r="K1704" s="150"/>
      <c r="L1704" s="150"/>
      <c r="M1704" s="150"/>
      <c r="N1704" s="151"/>
      <c r="O1704" s="150"/>
      <c r="P1704" s="151"/>
      <c r="Q1704" s="151"/>
      <c r="R1704" s="282"/>
      <c r="S1704" s="150"/>
      <c r="T1704" s="156"/>
      <c r="U1704" s="150"/>
    </row>
    <row r="1705" spans="1:23" x14ac:dyDescent="0.25">
      <c r="A1705" s="228"/>
      <c r="B1705" s="151"/>
      <c r="C1705" s="150"/>
      <c r="D1705" s="151"/>
      <c r="E1705" s="150"/>
      <c r="F1705" s="150"/>
      <c r="G1705" s="151"/>
      <c r="H1705" s="150"/>
      <c r="I1705" s="150"/>
      <c r="J1705" s="151"/>
      <c r="K1705" s="150"/>
      <c r="L1705" s="150"/>
      <c r="M1705" s="150"/>
      <c r="N1705" s="151"/>
      <c r="O1705" s="150"/>
      <c r="P1705" s="151"/>
      <c r="Q1705" s="151"/>
      <c r="R1705" s="282"/>
      <c r="S1705" s="150"/>
      <c r="T1705" s="156"/>
      <c r="U1705" s="150"/>
    </row>
    <row r="1706" spans="1:23" s="247" customFormat="1" x14ac:dyDescent="0.25">
      <c r="A1706" s="228"/>
      <c r="B1706" s="283"/>
      <c r="C1706" s="284"/>
      <c r="D1706" s="283"/>
      <c r="E1706" s="284"/>
      <c r="F1706" s="284"/>
      <c r="G1706" s="285"/>
      <c r="H1706" s="285"/>
      <c r="I1706" s="285"/>
      <c r="J1706" s="286"/>
      <c r="K1706" s="285"/>
      <c r="L1706" s="285"/>
      <c r="M1706" s="285"/>
      <c r="N1706" s="283"/>
      <c r="O1706" s="287"/>
      <c r="P1706" s="288"/>
      <c r="Q1706" s="289"/>
      <c r="R1706" s="290"/>
      <c r="S1706" s="291"/>
      <c r="T1706" s="291"/>
      <c r="U1706" s="292"/>
      <c r="V1706" s="259"/>
      <c r="W1706" s="259"/>
    </row>
    <row r="1707" spans="1:23" s="247" customFormat="1" x14ac:dyDescent="0.25">
      <c r="A1707" s="228"/>
      <c r="B1707" s="283"/>
      <c r="C1707" s="284"/>
      <c r="D1707" s="151"/>
      <c r="E1707" s="284"/>
      <c r="F1707" s="284"/>
      <c r="G1707" s="285"/>
      <c r="H1707" s="285"/>
      <c r="I1707" s="285"/>
      <c r="J1707" s="286"/>
      <c r="K1707" s="285"/>
      <c r="L1707" s="285"/>
      <c r="M1707" s="285"/>
      <c r="N1707" s="283"/>
      <c r="O1707" s="287"/>
      <c r="P1707" s="288"/>
      <c r="Q1707" s="289"/>
      <c r="R1707" s="290"/>
      <c r="S1707" s="291"/>
      <c r="T1707" s="291"/>
      <c r="U1707" s="292"/>
      <c r="V1707" s="259"/>
      <c r="W1707" s="259"/>
    </row>
    <row r="1708" spans="1:23" s="247" customFormat="1" x14ac:dyDescent="0.25">
      <c r="A1708" s="228"/>
      <c r="B1708" s="283"/>
      <c r="C1708" s="284"/>
      <c r="D1708" s="151"/>
      <c r="E1708" s="284"/>
      <c r="F1708" s="284"/>
      <c r="G1708" s="285"/>
      <c r="H1708" s="285"/>
      <c r="I1708" s="285"/>
      <c r="J1708" s="286"/>
      <c r="K1708" s="285"/>
      <c r="L1708" s="285"/>
      <c r="M1708" s="285"/>
      <c r="N1708" s="283"/>
      <c r="O1708" s="287"/>
      <c r="P1708" s="288"/>
      <c r="Q1708" s="289"/>
      <c r="R1708" s="290"/>
      <c r="S1708" s="291"/>
      <c r="T1708" s="291"/>
      <c r="U1708" s="292"/>
      <c r="V1708" s="259"/>
      <c r="W1708" s="259"/>
    </row>
    <row r="1709" spans="1:23" s="247" customFormat="1" x14ac:dyDescent="0.25">
      <c r="A1709" s="228"/>
      <c r="B1709" s="283"/>
      <c r="C1709" s="284"/>
      <c r="D1709" s="151"/>
      <c r="E1709" s="284"/>
      <c r="F1709" s="284"/>
      <c r="G1709" s="285"/>
      <c r="H1709" s="285"/>
      <c r="I1709" s="285"/>
      <c r="J1709" s="286"/>
      <c r="K1709" s="285"/>
      <c r="L1709" s="285"/>
      <c r="M1709" s="285"/>
      <c r="N1709" s="283"/>
      <c r="O1709" s="287"/>
      <c r="P1709" s="288"/>
      <c r="Q1709" s="289"/>
      <c r="R1709" s="290"/>
      <c r="S1709" s="291"/>
      <c r="T1709" s="291"/>
      <c r="U1709" s="292"/>
      <c r="V1709" s="259"/>
      <c r="W1709" s="259"/>
    </row>
    <row r="1710" spans="1:23" s="247" customFormat="1" x14ac:dyDescent="0.25">
      <c r="A1710" s="228"/>
      <c r="B1710" s="283"/>
      <c r="C1710" s="284"/>
      <c r="D1710" s="151"/>
      <c r="E1710" s="284"/>
      <c r="F1710" s="284"/>
      <c r="G1710" s="285"/>
      <c r="H1710" s="285"/>
      <c r="I1710" s="285"/>
      <c r="J1710" s="286"/>
      <c r="K1710" s="285"/>
      <c r="L1710" s="285"/>
      <c r="M1710" s="285"/>
      <c r="N1710" s="283"/>
      <c r="O1710" s="287"/>
      <c r="P1710" s="288"/>
      <c r="Q1710" s="289"/>
      <c r="R1710" s="290"/>
      <c r="S1710" s="291"/>
      <c r="T1710" s="291"/>
      <c r="U1710" s="292"/>
      <c r="V1710" s="259"/>
      <c r="W1710" s="259"/>
    </row>
    <row r="1711" spans="1:23" s="247" customFormat="1" x14ac:dyDescent="0.25">
      <c r="A1711" s="228"/>
      <c r="B1711" s="283"/>
      <c r="C1711" s="284"/>
      <c r="D1711" s="151"/>
      <c r="E1711" s="284"/>
      <c r="F1711" s="284"/>
      <c r="G1711" s="285"/>
      <c r="H1711" s="285"/>
      <c r="I1711" s="285"/>
      <c r="J1711" s="286"/>
      <c r="K1711" s="285"/>
      <c r="L1711" s="285"/>
      <c r="M1711" s="285"/>
      <c r="N1711" s="283"/>
      <c r="O1711" s="287"/>
      <c r="P1711" s="288"/>
      <c r="Q1711" s="289"/>
      <c r="R1711" s="290"/>
      <c r="S1711" s="291"/>
      <c r="T1711" s="291"/>
      <c r="U1711" s="292"/>
      <c r="V1711" s="259"/>
      <c r="W1711" s="259"/>
    </row>
    <row r="1712" spans="1:23" s="247" customFormat="1" x14ac:dyDescent="0.25">
      <c r="A1712" s="228"/>
      <c r="B1712" s="283"/>
      <c r="C1712" s="284"/>
      <c r="D1712" s="151"/>
      <c r="E1712" s="284"/>
      <c r="F1712" s="284"/>
      <c r="G1712" s="285"/>
      <c r="H1712" s="285"/>
      <c r="I1712" s="285"/>
      <c r="J1712" s="286"/>
      <c r="K1712" s="285"/>
      <c r="L1712" s="285"/>
      <c r="M1712" s="285"/>
      <c r="N1712" s="283"/>
      <c r="O1712" s="287"/>
      <c r="P1712" s="288"/>
      <c r="Q1712" s="289"/>
      <c r="R1712" s="290"/>
      <c r="S1712" s="291"/>
      <c r="T1712" s="291"/>
      <c r="U1712" s="292"/>
      <c r="V1712" s="259"/>
      <c r="W1712" s="259"/>
    </row>
    <row r="1713" spans="1:23" s="247" customFormat="1" x14ac:dyDescent="0.25">
      <c r="A1713" s="228"/>
      <c r="B1713" s="283"/>
      <c r="C1713" s="284"/>
      <c r="D1713" s="151"/>
      <c r="E1713" s="284"/>
      <c r="F1713" s="284"/>
      <c r="G1713" s="285"/>
      <c r="H1713" s="285"/>
      <c r="I1713" s="285"/>
      <c r="J1713" s="286"/>
      <c r="K1713" s="285"/>
      <c r="L1713" s="285"/>
      <c r="M1713" s="285"/>
      <c r="N1713" s="283"/>
      <c r="O1713" s="287"/>
      <c r="P1713" s="288"/>
      <c r="Q1713" s="289"/>
      <c r="R1713" s="290"/>
      <c r="S1713" s="291"/>
      <c r="T1713" s="291"/>
      <c r="U1713" s="292"/>
      <c r="V1713" s="259"/>
      <c r="W1713" s="259"/>
    </row>
    <row r="1714" spans="1:23" s="247" customFormat="1" x14ac:dyDescent="0.25">
      <c r="A1714" s="228"/>
      <c r="B1714" s="283"/>
      <c r="C1714" s="284"/>
      <c r="D1714" s="151"/>
      <c r="E1714" s="284"/>
      <c r="F1714" s="284"/>
      <c r="G1714" s="285"/>
      <c r="H1714" s="285"/>
      <c r="I1714" s="285"/>
      <c r="J1714" s="286"/>
      <c r="K1714" s="285"/>
      <c r="L1714" s="285"/>
      <c r="M1714" s="285"/>
      <c r="N1714" s="283"/>
      <c r="O1714" s="287"/>
      <c r="P1714" s="288"/>
      <c r="Q1714" s="289"/>
      <c r="R1714" s="290"/>
      <c r="S1714" s="291"/>
      <c r="T1714" s="291"/>
      <c r="U1714" s="292"/>
      <c r="V1714" s="259"/>
      <c r="W1714" s="259"/>
    </row>
    <row r="1715" spans="1:23" s="247" customFormat="1" x14ac:dyDescent="0.25">
      <c r="A1715" s="228"/>
      <c r="B1715" s="283"/>
      <c r="C1715" s="284"/>
      <c r="D1715" s="151"/>
      <c r="E1715" s="284"/>
      <c r="F1715" s="284"/>
      <c r="G1715" s="285"/>
      <c r="H1715" s="285"/>
      <c r="I1715" s="285"/>
      <c r="J1715" s="286"/>
      <c r="K1715" s="285"/>
      <c r="L1715" s="285"/>
      <c r="M1715" s="285"/>
      <c r="N1715" s="283"/>
      <c r="O1715" s="287"/>
      <c r="P1715" s="288"/>
      <c r="Q1715" s="289"/>
      <c r="R1715" s="290"/>
      <c r="S1715" s="291"/>
      <c r="T1715" s="291"/>
      <c r="U1715" s="292"/>
      <c r="V1715" s="259"/>
      <c r="W1715" s="259"/>
    </row>
    <row r="1716" spans="1:23" s="247" customFormat="1" x14ac:dyDescent="0.25">
      <c r="A1716" s="228"/>
      <c r="B1716" s="283"/>
      <c r="C1716" s="284"/>
      <c r="D1716" s="151"/>
      <c r="E1716" s="284"/>
      <c r="F1716" s="284"/>
      <c r="G1716" s="285"/>
      <c r="H1716" s="285"/>
      <c r="I1716" s="285"/>
      <c r="J1716" s="286"/>
      <c r="K1716" s="285"/>
      <c r="L1716" s="285"/>
      <c r="M1716" s="285"/>
      <c r="N1716" s="283"/>
      <c r="O1716" s="287"/>
      <c r="P1716" s="288"/>
      <c r="Q1716" s="289"/>
      <c r="R1716" s="290"/>
      <c r="S1716" s="291"/>
      <c r="T1716" s="291"/>
      <c r="U1716" s="292"/>
      <c r="V1716" s="259"/>
      <c r="W1716" s="259"/>
    </row>
    <row r="1717" spans="1:23" s="247" customFormat="1" x14ac:dyDescent="0.25">
      <c r="A1717" s="228"/>
      <c r="B1717" s="283"/>
      <c r="C1717" s="284"/>
      <c r="D1717" s="151"/>
      <c r="E1717" s="284"/>
      <c r="F1717" s="284"/>
      <c r="G1717" s="285"/>
      <c r="H1717" s="285"/>
      <c r="I1717" s="285"/>
      <c r="J1717" s="286"/>
      <c r="K1717" s="285"/>
      <c r="L1717" s="285"/>
      <c r="M1717" s="285"/>
      <c r="N1717" s="283"/>
      <c r="O1717" s="287"/>
      <c r="P1717" s="288"/>
      <c r="Q1717" s="289"/>
      <c r="R1717" s="290"/>
      <c r="S1717" s="291"/>
      <c r="T1717" s="291"/>
      <c r="U1717" s="292"/>
      <c r="V1717" s="259"/>
      <c r="W1717" s="259"/>
    </row>
    <row r="1718" spans="1:23" s="247" customFormat="1" x14ac:dyDescent="0.25">
      <c r="A1718" s="228"/>
      <c r="B1718" s="283"/>
      <c r="C1718" s="150"/>
      <c r="D1718" s="283"/>
      <c r="E1718" s="284"/>
      <c r="F1718" s="284"/>
      <c r="G1718" s="285"/>
      <c r="H1718" s="285"/>
      <c r="I1718" s="285"/>
      <c r="J1718" s="286"/>
      <c r="K1718" s="285"/>
      <c r="L1718" s="285"/>
      <c r="M1718" s="285"/>
      <c r="N1718" s="283"/>
      <c r="O1718" s="287"/>
      <c r="P1718" s="288"/>
      <c r="Q1718" s="289"/>
      <c r="R1718" s="290"/>
      <c r="S1718" s="291"/>
      <c r="T1718" s="291"/>
      <c r="U1718" s="292"/>
      <c r="V1718" s="259"/>
      <c r="W1718" s="259"/>
    </row>
    <row r="1719" spans="1:23" s="247" customFormat="1" x14ac:dyDescent="0.25">
      <c r="A1719" s="228"/>
      <c r="B1719" s="283"/>
      <c r="C1719" s="150"/>
      <c r="D1719" s="283"/>
      <c r="E1719" s="284"/>
      <c r="F1719" s="284"/>
      <c r="G1719" s="285"/>
      <c r="H1719" s="285"/>
      <c r="I1719" s="285"/>
      <c r="J1719" s="286"/>
      <c r="K1719" s="285"/>
      <c r="L1719" s="285"/>
      <c r="M1719" s="285"/>
      <c r="N1719" s="283"/>
      <c r="O1719" s="287"/>
      <c r="P1719" s="288"/>
      <c r="Q1719" s="289"/>
      <c r="R1719" s="290"/>
      <c r="S1719" s="291"/>
      <c r="T1719" s="291"/>
      <c r="U1719" s="292"/>
      <c r="V1719" s="259"/>
      <c r="W1719" s="259"/>
    </row>
    <row r="1720" spans="1:23" s="247" customFormat="1" x14ac:dyDescent="0.25">
      <c r="A1720" s="228"/>
      <c r="B1720" s="283"/>
      <c r="C1720" s="150"/>
      <c r="D1720" s="283"/>
      <c r="E1720" s="284"/>
      <c r="F1720" s="284"/>
      <c r="G1720" s="285"/>
      <c r="H1720" s="285"/>
      <c r="I1720" s="285"/>
      <c r="J1720" s="286"/>
      <c r="K1720" s="285"/>
      <c r="L1720" s="285"/>
      <c r="M1720" s="285"/>
      <c r="N1720" s="283"/>
      <c r="O1720" s="287"/>
      <c r="P1720" s="288"/>
      <c r="Q1720" s="289"/>
      <c r="R1720" s="290"/>
      <c r="S1720" s="291"/>
      <c r="T1720" s="291"/>
      <c r="U1720" s="292"/>
      <c r="V1720" s="259"/>
      <c r="W1720" s="259"/>
    </row>
    <row r="1721" spans="1:23" s="247" customFormat="1" x14ac:dyDescent="0.25">
      <c r="A1721" s="228"/>
      <c r="B1721" s="283"/>
      <c r="C1721" s="150"/>
      <c r="D1721" s="283"/>
      <c r="E1721" s="284"/>
      <c r="F1721" s="284"/>
      <c r="G1721" s="285"/>
      <c r="H1721" s="285"/>
      <c r="I1721" s="285"/>
      <c r="J1721" s="286"/>
      <c r="K1721" s="285"/>
      <c r="L1721" s="285"/>
      <c r="M1721" s="285"/>
      <c r="N1721" s="283"/>
      <c r="O1721" s="287"/>
      <c r="P1721" s="288"/>
      <c r="Q1721" s="289"/>
      <c r="R1721" s="290"/>
      <c r="S1721" s="291"/>
      <c r="T1721" s="291"/>
      <c r="U1721" s="292"/>
      <c r="V1721" s="259"/>
      <c r="W1721" s="259"/>
    </row>
    <row r="1722" spans="1:23" s="247" customFormat="1" x14ac:dyDescent="0.25">
      <c r="A1722" s="228"/>
      <c r="B1722" s="283"/>
      <c r="C1722" s="150"/>
      <c r="D1722" s="283"/>
      <c r="E1722" s="284"/>
      <c r="F1722" s="284"/>
      <c r="G1722" s="285"/>
      <c r="H1722" s="285"/>
      <c r="I1722" s="285"/>
      <c r="J1722" s="286"/>
      <c r="K1722" s="285"/>
      <c r="L1722" s="285"/>
      <c r="M1722" s="285"/>
      <c r="N1722" s="283"/>
      <c r="O1722" s="287"/>
      <c r="P1722" s="288"/>
      <c r="Q1722" s="289"/>
      <c r="R1722" s="290"/>
      <c r="S1722" s="291"/>
      <c r="T1722" s="291"/>
      <c r="U1722" s="292"/>
      <c r="V1722" s="259"/>
      <c r="W1722" s="259"/>
    </row>
    <row r="1723" spans="1:23" s="247" customFormat="1" x14ac:dyDescent="0.25">
      <c r="A1723" s="228"/>
      <c r="B1723" s="283"/>
      <c r="C1723" s="150"/>
      <c r="D1723" s="273"/>
      <c r="E1723" s="259"/>
      <c r="F1723" s="259"/>
      <c r="G1723" s="274"/>
      <c r="H1723" s="274"/>
      <c r="I1723" s="274"/>
      <c r="J1723" s="275"/>
      <c r="K1723" s="274"/>
      <c r="L1723" s="274"/>
      <c r="M1723" s="274"/>
      <c r="N1723" s="273"/>
      <c r="O1723" s="277"/>
      <c r="P1723" s="288"/>
      <c r="Q1723" s="261"/>
      <c r="R1723" s="262"/>
      <c r="S1723" s="291"/>
      <c r="T1723" s="263"/>
      <c r="U1723" s="264"/>
      <c r="V1723" s="259"/>
      <c r="W1723" s="259"/>
    </row>
    <row r="1724" spans="1:23" s="247" customFormat="1" x14ac:dyDescent="0.25">
      <c r="A1724" s="228"/>
      <c r="B1724" s="283"/>
      <c r="C1724" s="150"/>
      <c r="D1724" s="283"/>
      <c r="E1724" s="284"/>
      <c r="F1724" s="284"/>
      <c r="G1724" s="285"/>
      <c r="H1724" s="285"/>
      <c r="I1724" s="285"/>
      <c r="J1724" s="286"/>
      <c r="K1724" s="285"/>
      <c r="L1724" s="285"/>
      <c r="M1724" s="285"/>
      <c r="N1724" s="283"/>
      <c r="O1724" s="287"/>
      <c r="P1724" s="288"/>
      <c r="Q1724" s="289"/>
      <c r="R1724" s="290"/>
      <c r="S1724" s="291"/>
      <c r="T1724" s="291"/>
      <c r="U1724" s="292"/>
      <c r="V1724" s="259"/>
      <c r="W1724" s="259"/>
    </row>
    <row r="1725" spans="1:23" s="247" customFormat="1" x14ac:dyDescent="0.25">
      <c r="A1725" s="228"/>
      <c r="B1725" s="283"/>
      <c r="C1725" s="150"/>
      <c r="D1725" s="283"/>
      <c r="E1725" s="284"/>
      <c r="F1725" s="284"/>
      <c r="G1725" s="285"/>
      <c r="H1725" s="285"/>
      <c r="I1725" s="285"/>
      <c r="J1725" s="286"/>
      <c r="K1725" s="285"/>
      <c r="L1725" s="285"/>
      <c r="M1725" s="285"/>
      <c r="N1725" s="283"/>
      <c r="O1725" s="287"/>
      <c r="P1725" s="288"/>
      <c r="Q1725" s="289"/>
      <c r="R1725" s="290"/>
      <c r="S1725" s="291"/>
      <c r="T1725" s="291"/>
      <c r="U1725" s="292"/>
      <c r="V1725" s="259"/>
      <c r="W1725" s="259"/>
    </row>
    <row r="1726" spans="1:23" s="247" customFormat="1" x14ac:dyDescent="0.25">
      <c r="A1726" s="228"/>
      <c r="B1726" s="283"/>
      <c r="C1726" s="150"/>
      <c r="D1726" s="283"/>
      <c r="E1726" s="284"/>
      <c r="F1726" s="284"/>
      <c r="G1726" s="285"/>
      <c r="H1726" s="285"/>
      <c r="I1726" s="285"/>
      <c r="J1726" s="286"/>
      <c r="K1726" s="285"/>
      <c r="L1726" s="285"/>
      <c r="M1726" s="285"/>
      <c r="N1726" s="283"/>
      <c r="O1726" s="287"/>
      <c r="P1726" s="288"/>
      <c r="Q1726" s="289"/>
      <c r="R1726" s="290"/>
      <c r="S1726" s="291"/>
      <c r="T1726" s="291"/>
      <c r="U1726" s="292"/>
      <c r="V1726" s="259"/>
      <c r="W1726" s="259"/>
    </row>
    <row r="1727" spans="1:23" s="247" customFormat="1" x14ac:dyDescent="0.25">
      <c r="A1727" s="228"/>
      <c r="B1727" s="283"/>
      <c r="C1727" s="150"/>
      <c r="D1727" s="283"/>
      <c r="E1727" s="284"/>
      <c r="F1727" s="284"/>
      <c r="G1727" s="285"/>
      <c r="H1727" s="285"/>
      <c r="I1727" s="285"/>
      <c r="J1727" s="286"/>
      <c r="K1727" s="285"/>
      <c r="L1727" s="285"/>
      <c r="M1727" s="285"/>
      <c r="N1727" s="283"/>
      <c r="O1727" s="287"/>
      <c r="P1727" s="288"/>
      <c r="Q1727" s="289"/>
      <c r="R1727" s="290"/>
      <c r="S1727" s="291"/>
      <c r="T1727" s="291"/>
      <c r="U1727" s="292"/>
      <c r="V1727" s="259"/>
      <c r="W1727" s="259"/>
    </row>
    <row r="1728" spans="1:23" s="247" customFormat="1" x14ac:dyDescent="0.25">
      <c r="A1728" s="228"/>
      <c r="B1728" s="283"/>
      <c r="C1728" s="150"/>
      <c r="D1728" s="283"/>
      <c r="E1728" s="284"/>
      <c r="F1728" s="284"/>
      <c r="G1728" s="285"/>
      <c r="H1728" s="285"/>
      <c r="I1728" s="285"/>
      <c r="J1728" s="286"/>
      <c r="K1728" s="285"/>
      <c r="L1728" s="285"/>
      <c r="M1728" s="285"/>
      <c r="N1728" s="283"/>
      <c r="O1728" s="287"/>
      <c r="P1728" s="288"/>
      <c r="Q1728" s="289"/>
      <c r="R1728" s="290"/>
      <c r="S1728" s="291"/>
      <c r="T1728" s="291"/>
      <c r="U1728" s="292"/>
      <c r="V1728" s="259"/>
      <c r="W1728" s="259"/>
    </row>
    <row r="1729" spans="1:23" s="247" customFormat="1" x14ac:dyDescent="0.25">
      <c r="A1729" s="228"/>
      <c r="B1729" s="283"/>
      <c r="C1729" s="150"/>
      <c r="D1729" s="283"/>
      <c r="E1729" s="284"/>
      <c r="F1729" s="284"/>
      <c r="G1729" s="285"/>
      <c r="H1729" s="285"/>
      <c r="I1729" s="285"/>
      <c r="J1729" s="286"/>
      <c r="K1729" s="285"/>
      <c r="L1729" s="285"/>
      <c r="M1729" s="285"/>
      <c r="N1729" s="283"/>
      <c r="O1729" s="287"/>
      <c r="P1729" s="288"/>
      <c r="Q1729" s="289"/>
      <c r="R1729" s="290"/>
      <c r="S1729" s="291"/>
      <c r="T1729" s="291"/>
      <c r="U1729" s="292"/>
      <c r="V1729" s="259"/>
      <c r="W1729" s="259"/>
    </row>
    <row r="1730" spans="1:23" s="247" customFormat="1" x14ac:dyDescent="0.25">
      <c r="A1730" s="228"/>
      <c r="B1730" s="283"/>
      <c r="C1730" s="150"/>
      <c r="D1730" s="283"/>
      <c r="E1730" s="284"/>
      <c r="F1730" s="284"/>
      <c r="G1730" s="285"/>
      <c r="H1730" s="285"/>
      <c r="I1730" s="285"/>
      <c r="J1730" s="286"/>
      <c r="K1730" s="285"/>
      <c r="L1730" s="285"/>
      <c r="M1730" s="285"/>
      <c r="N1730" s="283"/>
      <c r="O1730" s="287"/>
      <c r="P1730" s="288"/>
      <c r="Q1730" s="289"/>
      <c r="R1730" s="290"/>
      <c r="S1730" s="291"/>
      <c r="T1730" s="291"/>
      <c r="U1730" s="292"/>
      <c r="V1730" s="259"/>
      <c r="W1730" s="259"/>
    </row>
    <row r="1731" spans="1:23" s="247" customFormat="1" x14ac:dyDescent="0.25">
      <c r="A1731" s="228"/>
      <c r="B1731" s="283"/>
      <c r="C1731" s="150"/>
      <c r="D1731" s="283"/>
      <c r="E1731" s="284"/>
      <c r="F1731" s="284"/>
      <c r="G1731" s="285"/>
      <c r="H1731" s="285"/>
      <c r="I1731" s="285"/>
      <c r="J1731" s="286"/>
      <c r="K1731" s="285"/>
      <c r="L1731" s="285"/>
      <c r="M1731" s="285"/>
      <c r="N1731" s="283"/>
      <c r="O1731" s="287"/>
      <c r="P1731" s="288"/>
      <c r="Q1731" s="289"/>
      <c r="R1731" s="290"/>
      <c r="S1731" s="291"/>
      <c r="T1731" s="291"/>
      <c r="U1731" s="292"/>
      <c r="V1731" s="259"/>
      <c r="W1731" s="259"/>
    </row>
    <row r="1732" spans="1:23" s="247" customFormat="1" x14ac:dyDescent="0.25">
      <c r="A1732" s="228"/>
      <c r="B1732" s="283"/>
      <c r="C1732" s="150"/>
      <c r="D1732" s="283"/>
      <c r="E1732" s="284"/>
      <c r="F1732" s="284"/>
      <c r="G1732" s="285"/>
      <c r="H1732" s="285"/>
      <c r="I1732" s="285"/>
      <c r="J1732" s="286"/>
      <c r="K1732" s="285"/>
      <c r="L1732" s="285"/>
      <c r="M1732" s="285"/>
      <c r="N1732" s="283"/>
      <c r="O1732" s="287"/>
      <c r="P1732" s="288"/>
      <c r="Q1732" s="289"/>
      <c r="R1732" s="290"/>
      <c r="S1732" s="291"/>
      <c r="T1732" s="291"/>
      <c r="U1732" s="292"/>
      <c r="V1732" s="259"/>
      <c r="W1732" s="259"/>
    </row>
    <row r="1733" spans="1:23" s="247" customFormat="1" x14ac:dyDescent="0.25">
      <c r="A1733" s="228"/>
      <c r="B1733" s="283"/>
      <c r="C1733" s="150"/>
      <c r="D1733" s="283"/>
      <c r="E1733" s="284"/>
      <c r="F1733" s="284"/>
      <c r="G1733" s="285"/>
      <c r="H1733" s="285"/>
      <c r="I1733" s="285"/>
      <c r="J1733" s="286"/>
      <c r="K1733" s="285"/>
      <c r="L1733" s="285"/>
      <c r="M1733" s="285"/>
      <c r="N1733" s="283"/>
      <c r="O1733" s="287"/>
      <c r="P1733" s="288"/>
      <c r="Q1733" s="289"/>
      <c r="R1733" s="290"/>
      <c r="S1733" s="291"/>
      <c r="T1733" s="291"/>
      <c r="U1733" s="292"/>
      <c r="V1733" s="259"/>
      <c r="W1733" s="259"/>
    </row>
    <row r="1734" spans="1:23" s="247" customFormat="1" x14ac:dyDescent="0.25">
      <c r="A1734" s="228"/>
      <c r="B1734" s="283"/>
      <c r="C1734" s="150"/>
      <c r="D1734" s="283"/>
      <c r="E1734" s="284"/>
      <c r="F1734" s="284"/>
      <c r="G1734" s="285"/>
      <c r="H1734" s="285"/>
      <c r="I1734" s="285"/>
      <c r="J1734" s="286"/>
      <c r="K1734" s="285"/>
      <c r="L1734" s="285"/>
      <c r="M1734" s="285"/>
      <c r="N1734" s="283"/>
      <c r="O1734" s="287"/>
      <c r="P1734" s="288"/>
      <c r="Q1734" s="289"/>
      <c r="R1734" s="290"/>
      <c r="S1734" s="291"/>
      <c r="T1734" s="291"/>
      <c r="U1734" s="292"/>
      <c r="V1734" s="259"/>
      <c r="W1734" s="259"/>
    </row>
    <row r="1735" spans="1:23" s="247" customFormat="1" x14ac:dyDescent="0.25">
      <c r="A1735" s="228"/>
      <c r="B1735" s="283"/>
      <c r="C1735" s="150"/>
      <c r="D1735" s="283"/>
      <c r="E1735" s="284"/>
      <c r="F1735" s="284"/>
      <c r="G1735" s="285"/>
      <c r="H1735" s="285"/>
      <c r="I1735" s="285"/>
      <c r="J1735" s="286"/>
      <c r="K1735" s="285"/>
      <c r="L1735" s="285"/>
      <c r="M1735" s="285"/>
      <c r="N1735" s="283"/>
      <c r="O1735" s="287"/>
      <c r="P1735" s="288"/>
      <c r="Q1735" s="289"/>
      <c r="R1735" s="290"/>
      <c r="S1735" s="291"/>
      <c r="T1735" s="291"/>
      <c r="U1735" s="292"/>
      <c r="V1735" s="259"/>
      <c r="W1735" s="259"/>
    </row>
    <row r="1736" spans="1:23" s="247" customFormat="1" x14ac:dyDescent="0.25">
      <c r="A1736" s="228"/>
      <c r="B1736" s="283"/>
      <c r="C1736" s="150"/>
      <c r="D1736" s="283"/>
      <c r="E1736" s="284"/>
      <c r="F1736" s="284"/>
      <c r="G1736" s="285"/>
      <c r="H1736" s="285"/>
      <c r="I1736" s="285"/>
      <c r="J1736" s="286"/>
      <c r="K1736" s="285"/>
      <c r="L1736" s="285"/>
      <c r="M1736" s="285"/>
      <c r="N1736" s="283"/>
      <c r="O1736" s="287"/>
      <c r="P1736" s="288"/>
      <c r="Q1736" s="289"/>
      <c r="R1736" s="290"/>
      <c r="S1736" s="291"/>
      <c r="T1736" s="291"/>
      <c r="U1736" s="292"/>
      <c r="V1736" s="259"/>
      <c r="W1736" s="259"/>
    </row>
    <row r="1737" spans="1:23" s="247" customFormat="1" x14ac:dyDescent="0.25">
      <c r="A1737" s="228"/>
      <c r="B1737" s="283"/>
      <c r="C1737" s="150"/>
      <c r="D1737" s="283"/>
      <c r="E1737" s="284"/>
      <c r="F1737" s="284"/>
      <c r="G1737" s="285"/>
      <c r="H1737" s="285"/>
      <c r="I1737" s="285"/>
      <c r="J1737" s="286"/>
      <c r="K1737" s="285"/>
      <c r="L1737" s="285"/>
      <c r="M1737" s="285"/>
      <c r="N1737" s="283"/>
      <c r="O1737" s="287"/>
      <c r="P1737" s="288"/>
      <c r="Q1737" s="289"/>
      <c r="R1737" s="290"/>
      <c r="S1737" s="291"/>
      <c r="T1737" s="291"/>
      <c r="U1737" s="292"/>
      <c r="V1737" s="259"/>
      <c r="W1737" s="259"/>
    </row>
    <row r="1738" spans="1:23" s="247" customFormat="1" x14ac:dyDescent="0.25">
      <c r="A1738" s="228"/>
      <c r="B1738" s="283"/>
      <c r="C1738" s="150"/>
      <c r="D1738" s="283"/>
      <c r="E1738" s="284"/>
      <c r="F1738" s="284"/>
      <c r="G1738" s="285"/>
      <c r="H1738" s="285"/>
      <c r="I1738" s="285"/>
      <c r="J1738" s="286"/>
      <c r="K1738" s="285"/>
      <c r="L1738" s="285"/>
      <c r="M1738" s="285"/>
      <c r="N1738" s="283"/>
      <c r="O1738" s="287"/>
      <c r="P1738" s="288"/>
      <c r="Q1738" s="289"/>
      <c r="R1738" s="290"/>
      <c r="S1738" s="291"/>
      <c r="T1738" s="291"/>
      <c r="U1738" s="292"/>
      <c r="V1738" s="259"/>
      <c r="W1738" s="259"/>
    </row>
    <row r="1739" spans="1:23" s="247" customFormat="1" x14ac:dyDescent="0.25">
      <c r="A1739" s="228"/>
      <c r="B1739" s="283"/>
      <c r="C1739" s="284"/>
      <c r="D1739" s="283"/>
      <c r="E1739" s="284"/>
      <c r="F1739" s="284"/>
      <c r="G1739" s="285"/>
      <c r="H1739" s="285"/>
      <c r="I1739" s="285"/>
      <c r="J1739" s="286"/>
      <c r="K1739" s="285"/>
      <c r="L1739" s="285"/>
      <c r="M1739" s="285"/>
      <c r="N1739" s="283"/>
      <c r="O1739" s="287"/>
      <c r="P1739" s="288"/>
      <c r="Q1739" s="289"/>
      <c r="R1739" s="290"/>
      <c r="S1739" s="291"/>
      <c r="T1739" s="291"/>
      <c r="U1739" s="292"/>
      <c r="V1739" s="259"/>
      <c r="W1739" s="259"/>
    </row>
    <row r="1740" spans="1:23" s="247" customFormat="1" x14ac:dyDescent="0.25">
      <c r="A1740" s="228"/>
      <c r="B1740" s="283"/>
      <c r="C1740" s="284"/>
      <c r="D1740" s="283"/>
      <c r="E1740" s="284"/>
      <c r="F1740" s="284"/>
      <c r="G1740" s="285"/>
      <c r="H1740" s="285"/>
      <c r="I1740" s="285"/>
      <c r="J1740" s="286"/>
      <c r="K1740" s="285"/>
      <c r="L1740" s="285"/>
      <c r="M1740" s="285"/>
      <c r="N1740" s="283"/>
      <c r="O1740" s="287"/>
      <c r="P1740" s="288"/>
      <c r="Q1740" s="289"/>
      <c r="R1740" s="290"/>
      <c r="S1740" s="291"/>
      <c r="T1740" s="291"/>
      <c r="U1740" s="292"/>
      <c r="V1740" s="259"/>
      <c r="W1740" s="259"/>
    </row>
    <row r="1741" spans="1:23" s="247" customFormat="1" x14ac:dyDescent="0.25">
      <c r="A1741" s="228"/>
      <c r="B1741" s="283"/>
      <c r="C1741" s="284"/>
      <c r="D1741" s="283"/>
      <c r="E1741" s="284"/>
      <c r="F1741" s="284"/>
      <c r="G1741" s="285"/>
      <c r="H1741" s="285"/>
      <c r="I1741" s="285"/>
      <c r="J1741" s="286"/>
      <c r="K1741" s="285"/>
      <c r="L1741" s="285"/>
      <c r="M1741" s="285"/>
      <c r="N1741" s="283"/>
      <c r="O1741" s="287"/>
      <c r="P1741" s="288"/>
      <c r="Q1741" s="289"/>
      <c r="R1741" s="290"/>
      <c r="S1741" s="291"/>
      <c r="T1741" s="291"/>
      <c r="U1741" s="292"/>
      <c r="V1741" s="259"/>
      <c r="W1741" s="259"/>
    </row>
    <row r="1742" spans="1:23" s="247" customFormat="1" x14ac:dyDescent="0.25">
      <c r="A1742" s="228"/>
      <c r="B1742" s="283"/>
      <c r="C1742" s="284"/>
      <c r="D1742" s="283"/>
      <c r="E1742" s="284"/>
      <c r="F1742" s="284"/>
      <c r="G1742" s="285"/>
      <c r="H1742" s="285"/>
      <c r="I1742" s="285"/>
      <c r="J1742" s="286"/>
      <c r="K1742" s="285"/>
      <c r="L1742" s="285"/>
      <c r="M1742" s="285"/>
      <c r="N1742" s="283"/>
      <c r="O1742" s="287"/>
      <c r="P1742" s="288"/>
      <c r="Q1742" s="289"/>
      <c r="R1742" s="290"/>
      <c r="S1742" s="291"/>
      <c r="T1742" s="291"/>
      <c r="U1742" s="292"/>
      <c r="V1742" s="259"/>
      <c r="W1742" s="259"/>
    </row>
    <row r="1743" spans="1:23" s="247" customFormat="1" x14ac:dyDescent="0.25">
      <c r="A1743" s="228"/>
      <c r="B1743" s="283"/>
      <c r="C1743" s="284"/>
      <c r="D1743" s="283"/>
      <c r="E1743" s="284"/>
      <c r="F1743" s="284"/>
      <c r="G1743" s="285"/>
      <c r="H1743" s="285"/>
      <c r="I1743" s="285"/>
      <c r="J1743" s="286"/>
      <c r="K1743" s="285"/>
      <c r="L1743" s="285"/>
      <c r="M1743" s="285"/>
      <c r="N1743" s="283"/>
      <c r="O1743" s="287"/>
      <c r="P1743" s="288"/>
      <c r="Q1743" s="289"/>
      <c r="R1743" s="290"/>
      <c r="S1743" s="291"/>
      <c r="T1743" s="291"/>
      <c r="U1743" s="292"/>
      <c r="V1743" s="259"/>
      <c r="W1743" s="268"/>
    </row>
    <row r="1744" spans="1:23" s="247" customFormat="1" x14ac:dyDescent="0.25">
      <c r="A1744" s="228"/>
      <c r="B1744" s="283"/>
      <c r="C1744" s="284"/>
      <c r="D1744" s="283"/>
      <c r="E1744" s="284"/>
      <c r="F1744" s="284"/>
      <c r="G1744" s="285"/>
      <c r="H1744" s="285"/>
      <c r="I1744" s="285"/>
      <c r="J1744" s="286"/>
      <c r="K1744" s="285"/>
      <c r="L1744" s="285"/>
      <c r="M1744" s="285"/>
      <c r="N1744" s="283"/>
      <c r="O1744" s="287"/>
      <c r="P1744" s="288"/>
      <c r="Q1744" s="289"/>
      <c r="R1744" s="290"/>
      <c r="S1744" s="291"/>
      <c r="T1744" s="291"/>
      <c r="U1744" s="292"/>
      <c r="V1744" s="259"/>
      <c r="W1744" s="259"/>
    </row>
    <row r="1745" spans="1:23" s="247" customFormat="1" x14ac:dyDescent="0.25">
      <c r="A1745" s="228"/>
      <c r="B1745" s="283"/>
      <c r="C1745" s="284"/>
      <c r="D1745" s="283"/>
      <c r="E1745" s="284"/>
      <c r="F1745" s="284"/>
      <c r="G1745" s="285"/>
      <c r="H1745" s="285"/>
      <c r="I1745" s="285"/>
      <c r="J1745" s="286"/>
      <c r="K1745" s="285"/>
      <c r="L1745" s="285"/>
      <c r="M1745" s="285"/>
      <c r="N1745" s="283"/>
      <c r="O1745" s="287"/>
      <c r="P1745" s="288"/>
      <c r="Q1745" s="289"/>
      <c r="R1745" s="290"/>
      <c r="S1745" s="291"/>
      <c r="T1745" s="291"/>
      <c r="U1745" s="292"/>
      <c r="V1745" s="259"/>
      <c r="W1745" s="259"/>
    </row>
    <row r="1746" spans="1:23" s="247" customFormat="1" x14ac:dyDescent="0.25">
      <c r="A1746" s="228"/>
      <c r="B1746" s="283"/>
      <c r="C1746" s="284"/>
      <c r="D1746" s="283"/>
      <c r="E1746" s="284"/>
      <c r="F1746" s="284"/>
      <c r="G1746" s="285"/>
      <c r="H1746" s="285"/>
      <c r="I1746" s="285"/>
      <c r="J1746" s="286"/>
      <c r="K1746" s="285"/>
      <c r="L1746" s="285"/>
      <c r="M1746" s="285"/>
      <c r="N1746" s="283"/>
      <c r="O1746" s="287"/>
      <c r="P1746" s="288"/>
      <c r="Q1746" s="289"/>
      <c r="R1746" s="290"/>
      <c r="S1746" s="291"/>
      <c r="T1746" s="291"/>
      <c r="U1746" s="292"/>
      <c r="V1746" s="259"/>
      <c r="W1746" s="259"/>
    </row>
    <row r="1747" spans="1:23" s="247" customFormat="1" x14ac:dyDescent="0.25">
      <c r="A1747" s="228"/>
      <c r="B1747" s="283"/>
      <c r="C1747" s="284"/>
      <c r="D1747" s="283"/>
      <c r="E1747" s="284"/>
      <c r="F1747" s="284"/>
      <c r="G1747" s="285"/>
      <c r="H1747" s="285"/>
      <c r="I1747" s="285"/>
      <c r="J1747" s="286"/>
      <c r="K1747" s="285"/>
      <c r="L1747" s="285"/>
      <c r="M1747" s="285"/>
      <c r="N1747" s="283"/>
      <c r="O1747" s="287"/>
      <c r="P1747" s="288"/>
      <c r="Q1747" s="289"/>
      <c r="R1747" s="290"/>
      <c r="S1747" s="291"/>
      <c r="T1747" s="291"/>
      <c r="U1747" s="292"/>
      <c r="V1747" s="259"/>
      <c r="W1747" s="259"/>
    </row>
    <row r="1748" spans="1:23" s="247" customFormat="1" x14ac:dyDescent="0.25">
      <c r="A1748" s="228"/>
      <c r="B1748" s="283"/>
      <c r="C1748" s="284"/>
      <c r="D1748" s="283"/>
      <c r="E1748" s="284"/>
      <c r="F1748" s="284"/>
      <c r="G1748" s="285"/>
      <c r="H1748" s="285"/>
      <c r="I1748" s="285"/>
      <c r="J1748" s="286"/>
      <c r="K1748" s="285"/>
      <c r="L1748" s="285"/>
      <c r="M1748" s="285"/>
      <c r="N1748" s="283"/>
      <c r="O1748" s="287"/>
      <c r="P1748" s="288"/>
      <c r="Q1748" s="289"/>
      <c r="R1748" s="290"/>
      <c r="S1748" s="291"/>
      <c r="T1748" s="291"/>
      <c r="U1748" s="292"/>
      <c r="V1748" s="259"/>
      <c r="W1748" s="259"/>
    </row>
    <row r="1749" spans="1:23" s="247" customFormat="1" x14ac:dyDescent="0.25">
      <c r="A1749" s="228"/>
      <c r="B1749" s="283"/>
      <c r="C1749" s="284"/>
      <c r="D1749" s="283"/>
      <c r="E1749" s="284"/>
      <c r="F1749" s="284"/>
      <c r="G1749" s="285"/>
      <c r="H1749" s="285"/>
      <c r="I1749" s="285"/>
      <c r="J1749" s="286"/>
      <c r="K1749" s="285"/>
      <c r="L1749" s="285"/>
      <c r="M1749" s="285"/>
      <c r="N1749" s="283"/>
      <c r="O1749" s="287"/>
      <c r="P1749" s="288"/>
      <c r="Q1749" s="289"/>
      <c r="R1749" s="290"/>
      <c r="S1749" s="291"/>
      <c r="T1749" s="291"/>
      <c r="U1749" s="292"/>
      <c r="V1749" s="259"/>
      <c r="W1749" s="259"/>
    </row>
    <row r="1750" spans="1:23" s="247" customFormat="1" x14ac:dyDescent="0.25">
      <c r="A1750" s="228"/>
      <c r="B1750" s="283"/>
      <c r="C1750" s="284"/>
      <c r="D1750" s="283"/>
      <c r="E1750" s="284"/>
      <c r="F1750" s="284"/>
      <c r="G1750" s="285"/>
      <c r="H1750" s="285"/>
      <c r="I1750" s="285"/>
      <c r="J1750" s="286"/>
      <c r="K1750" s="285"/>
      <c r="L1750" s="285"/>
      <c r="M1750" s="285"/>
      <c r="N1750" s="283"/>
      <c r="O1750" s="287"/>
      <c r="P1750" s="288"/>
      <c r="Q1750" s="289"/>
      <c r="R1750" s="290"/>
      <c r="S1750" s="291"/>
      <c r="T1750" s="291"/>
      <c r="U1750" s="292"/>
      <c r="V1750" s="259"/>
      <c r="W1750" s="259"/>
    </row>
    <row r="1751" spans="1:23" s="247" customFormat="1" x14ac:dyDescent="0.25">
      <c r="A1751" s="228"/>
      <c r="B1751" s="283"/>
      <c r="C1751" s="284"/>
      <c r="D1751" s="283"/>
      <c r="E1751" s="284"/>
      <c r="F1751" s="284"/>
      <c r="G1751" s="285"/>
      <c r="H1751" s="285"/>
      <c r="I1751" s="285"/>
      <c r="J1751" s="286"/>
      <c r="K1751" s="285"/>
      <c r="L1751" s="285"/>
      <c r="M1751" s="285"/>
      <c r="N1751" s="283"/>
      <c r="O1751" s="287"/>
      <c r="P1751" s="288"/>
      <c r="Q1751" s="289"/>
      <c r="R1751" s="290"/>
      <c r="S1751" s="291"/>
      <c r="T1751" s="291"/>
      <c r="U1751" s="292"/>
      <c r="V1751" s="259"/>
      <c r="W1751" s="259"/>
    </row>
    <row r="1752" spans="1:23" s="247" customFormat="1" x14ac:dyDescent="0.25">
      <c r="A1752" s="228"/>
      <c r="B1752" s="283"/>
      <c r="C1752" s="284"/>
      <c r="D1752" s="283"/>
      <c r="E1752" s="284"/>
      <c r="F1752" s="284"/>
      <c r="G1752" s="285"/>
      <c r="H1752" s="285"/>
      <c r="I1752" s="285"/>
      <c r="J1752" s="286"/>
      <c r="K1752" s="285"/>
      <c r="L1752" s="285"/>
      <c r="M1752" s="285"/>
      <c r="N1752" s="283"/>
      <c r="O1752" s="287"/>
      <c r="P1752" s="288"/>
      <c r="Q1752" s="289"/>
      <c r="R1752" s="290"/>
      <c r="S1752" s="291"/>
      <c r="T1752" s="291"/>
      <c r="U1752" s="292"/>
      <c r="V1752" s="259"/>
      <c r="W1752" s="259"/>
    </row>
    <row r="1753" spans="1:23" s="247" customFormat="1" x14ac:dyDescent="0.25">
      <c r="A1753" s="228"/>
      <c r="B1753" s="283"/>
      <c r="C1753" s="284"/>
      <c r="D1753" s="283"/>
      <c r="E1753" s="284"/>
      <c r="F1753" s="284"/>
      <c r="G1753" s="285"/>
      <c r="H1753" s="285"/>
      <c r="I1753" s="285"/>
      <c r="J1753" s="286"/>
      <c r="K1753" s="285"/>
      <c r="L1753" s="285"/>
      <c r="M1753" s="285"/>
      <c r="N1753" s="283"/>
      <c r="O1753" s="287"/>
      <c r="P1753" s="288"/>
      <c r="Q1753" s="289"/>
      <c r="R1753" s="290"/>
      <c r="S1753" s="291"/>
      <c r="T1753" s="291"/>
      <c r="U1753" s="292"/>
      <c r="V1753" s="259"/>
      <c r="W1753" s="259"/>
    </row>
    <row r="1754" spans="1:23" s="247" customFormat="1" x14ac:dyDescent="0.25">
      <c r="A1754" s="228"/>
      <c r="B1754" s="283"/>
      <c r="C1754" s="284"/>
      <c r="D1754" s="283"/>
      <c r="E1754" s="284"/>
      <c r="F1754" s="284"/>
      <c r="G1754" s="274"/>
      <c r="H1754" s="274"/>
      <c r="I1754" s="274"/>
      <c r="J1754" s="275"/>
      <c r="K1754" s="274"/>
      <c r="L1754" s="274"/>
      <c r="M1754" s="274"/>
      <c r="N1754" s="273"/>
      <c r="O1754" s="287"/>
      <c r="P1754" s="288"/>
      <c r="Q1754" s="289"/>
      <c r="R1754" s="290"/>
      <c r="S1754" s="291"/>
      <c r="T1754" s="291"/>
      <c r="U1754" s="292"/>
      <c r="V1754" s="259"/>
      <c r="W1754" s="259"/>
    </row>
    <row r="1755" spans="1:23" s="247" customFormat="1" x14ac:dyDescent="0.25">
      <c r="A1755" s="228"/>
      <c r="B1755" s="283"/>
      <c r="C1755" s="284"/>
      <c r="D1755" s="283"/>
      <c r="E1755" s="284"/>
      <c r="F1755" s="284"/>
      <c r="G1755" s="285"/>
      <c r="H1755" s="285"/>
      <c r="I1755" s="285"/>
      <c r="J1755" s="286"/>
      <c r="K1755" s="285"/>
      <c r="L1755" s="285"/>
      <c r="M1755" s="285"/>
      <c r="N1755" s="283"/>
      <c r="O1755" s="287"/>
      <c r="P1755" s="288"/>
      <c r="Q1755" s="289"/>
      <c r="R1755" s="290"/>
      <c r="S1755" s="291"/>
      <c r="T1755" s="291"/>
      <c r="U1755" s="292"/>
      <c r="V1755" s="259"/>
      <c r="W1755" s="259"/>
    </row>
    <row r="1756" spans="1:23" s="247" customFormat="1" x14ac:dyDescent="0.25">
      <c r="A1756" s="228"/>
      <c r="B1756" s="283"/>
      <c r="C1756" s="284"/>
      <c r="D1756" s="283"/>
      <c r="E1756" s="284"/>
      <c r="F1756" s="284"/>
      <c r="G1756" s="285"/>
      <c r="H1756" s="285"/>
      <c r="I1756" s="285"/>
      <c r="J1756" s="286"/>
      <c r="K1756" s="285"/>
      <c r="L1756" s="285"/>
      <c r="M1756" s="285"/>
      <c r="N1756" s="283"/>
      <c r="O1756" s="287"/>
      <c r="P1756" s="288"/>
      <c r="Q1756" s="289"/>
      <c r="R1756" s="290"/>
      <c r="S1756" s="291"/>
      <c r="T1756" s="291"/>
      <c r="U1756" s="292"/>
      <c r="V1756" s="259"/>
      <c r="W1756" s="259"/>
    </row>
    <row r="1757" spans="1:23" s="247" customFormat="1" x14ac:dyDescent="0.25">
      <c r="A1757" s="228"/>
      <c r="B1757" s="283"/>
      <c r="C1757" s="284"/>
      <c r="D1757" s="283"/>
      <c r="E1757" s="284"/>
      <c r="F1757" s="284"/>
      <c r="G1757" s="285"/>
      <c r="H1757" s="285"/>
      <c r="I1757" s="285"/>
      <c r="J1757" s="286"/>
      <c r="K1757" s="285"/>
      <c r="L1757" s="285"/>
      <c r="M1757" s="285"/>
      <c r="N1757" s="283"/>
      <c r="O1757" s="287"/>
      <c r="P1757" s="288"/>
      <c r="Q1757" s="289"/>
      <c r="R1757" s="290"/>
      <c r="S1757" s="291"/>
      <c r="T1757" s="291"/>
      <c r="U1757" s="292"/>
      <c r="V1757" s="259"/>
      <c r="W1757" s="259"/>
    </row>
    <row r="1758" spans="1:23" s="247" customFormat="1" x14ac:dyDescent="0.25">
      <c r="A1758" s="228"/>
      <c r="B1758" s="283"/>
      <c r="C1758" s="284"/>
      <c r="D1758" s="283"/>
      <c r="E1758" s="284"/>
      <c r="F1758" s="284"/>
      <c r="G1758" s="285"/>
      <c r="H1758" s="285"/>
      <c r="I1758" s="285"/>
      <c r="J1758" s="286"/>
      <c r="K1758" s="285"/>
      <c r="L1758" s="285"/>
      <c r="M1758" s="285"/>
      <c r="N1758" s="283"/>
      <c r="O1758" s="287"/>
      <c r="P1758" s="288"/>
      <c r="Q1758" s="289"/>
      <c r="R1758" s="290"/>
      <c r="S1758" s="291"/>
      <c r="T1758" s="291"/>
      <c r="U1758" s="292"/>
      <c r="V1758" s="259"/>
      <c r="W1758" s="259"/>
    </row>
    <row r="1759" spans="1:23" s="247" customFormat="1" x14ac:dyDescent="0.25">
      <c r="A1759" s="228"/>
      <c r="B1759" s="283"/>
      <c r="C1759" s="284"/>
      <c r="D1759" s="283"/>
      <c r="E1759" s="284"/>
      <c r="F1759" s="284"/>
      <c r="G1759" s="285"/>
      <c r="H1759" s="285"/>
      <c r="I1759" s="285"/>
      <c r="J1759" s="286"/>
      <c r="K1759" s="285"/>
      <c r="L1759" s="285"/>
      <c r="M1759" s="285"/>
      <c r="N1759" s="283"/>
      <c r="O1759" s="287"/>
      <c r="P1759" s="288"/>
      <c r="Q1759" s="289"/>
      <c r="R1759" s="290"/>
      <c r="S1759" s="291"/>
      <c r="T1759" s="291"/>
      <c r="U1759" s="292"/>
      <c r="V1759" s="259"/>
      <c r="W1759" s="259"/>
    </row>
    <row r="1760" spans="1:23" s="247" customFormat="1" x14ac:dyDescent="0.25">
      <c r="A1760" s="228"/>
      <c r="B1760" s="283"/>
      <c r="C1760" s="284"/>
      <c r="D1760" s="283"/>
      <c r="E1760" s="284"/>
      <c r="F1760" s="284"/>
      <c r="G1760" s="285"/>
      <c r="H1760" s="285"/>
      <c r="I1760" s="285"/>
      <c r="J1760" s="286"/>
      <c r="K1760" s="285"/>
      <c r="L1760" s="285"/>
      <c r="M1760" s="285"/>
      <c r="N1760" s="283"/>
      <c r="O1760" s="287"/>
      <c r="P1760" s="288"/>
      <c r="Q1760" s="289"/>
      <c r="R1760" s="290"/>
      <c r="S1760" s="291"/>
      <c r="T1760" s="291"/>
      <c r="U1760" s="292"/>
      <c r="V1760" s="259"/>
      <c r="W1760" s="268"/>
    </row>
    <row r="1761" spans="1:23" s="247" customFormat="1" x14ac:dyDescent="0.25">
      <c r="A1761" s="228"/>
      <c r="B1761" s="283"/>
      <c r="C1761" s="284"/>
      <c r="D1761" s="283"/>
      <c r="E1761" s="284"/>
      <c r="F1761" s="284"/>
      <c r="G1761" s="285"/>
      <c r="H1761" s="285"/>
      <c r="I1761" s="285"/>
      <c r="J1761" s="286"/>
      <c r="K1761" s="285"/>
      <c r="L1761" s="285"/>
      <c r="M1761" s="285"/>
      <c r="N1761" s="283"/>
      <c r="O1761" s="287"/>
      <c r="P1761" s="288"/>
      <c r="Q1761" s="289"/>
      <c r="R1761" s="290"/>
      <c r="S1761" s="291"/>
      <c r="T1761" s="291"/>
      <c r="U1761" s="292"/>
      <c r="V1761" s="259"/>
      <c r="W1761" s="259"/>
    </row>
    <row r="1762" spans="1:23" s="247" customFormat="1" x14ac:dyDescent="0.25">
      <c r="A1762" s="228"/>
      <c r="B1762" s="283"/>
      <c r="C1762" s="284"/>
      <c r="D1762" s="283"/>
      <c r="E1762" s="284"/>
      <c r="F1762" s="284"/>
      <c r="G1762" s="285"/>
      <c r="H1762" s="285"/>
      <c r="I1762" s="285"/>
      <c r="J1762" s="286"/>
      <c r="K1762" s="285"/>
      <c r="L1762" s="285"/>
      <c r="M1762" s="285"/>
      <c r="N1762" s="283"/>
      <c r="O1762" s="287"/>
      <c r="P1762" s="288"/>
      <c r="Q1762" s="289"/>
      <c r="R1762" s="290"/>
      <c r="S1762" s="291"/>
      <c r="T1762" s="291"/>
      <c r="U1762" s="292"/>
      <c r="V1762" s="259"/>
      <c r="W1762" s="259"/>
    </row>
    <row r="1763" spans="1:23" s="247" customFormat="1" x14ac:dyDescent="0.25">
      <c r="A1763" s="228"/>
      <c r="B1763" s="283"/>
      <c r="C1763" s="284"/>
      <c r="D1763" s="283"/>
      <c r="E1763" s="284"/>
      <c r="F1763" s="284"/>
      <c r="G1763" s="285"/>
      <c r="H1763" s="285"/>
      <c r="I1763" s="285"/>
      <c r="J1763" s="286"/>
      <c r="K1763" s="285"/>
      <c r="L1763" s="285"/>
      <c r="M1763" s="285"/>
      <c r="N1763" s="283"/>
      <c r="O1763" s="287"/>
      <c r="P1763" s="288"/>
      <c r="Q1763" s="289"/>
      <c r="R1763" s="290"/>
      <c r="S1763" s="291"/>
      <c r="T1763" s="291"/>
      <c r="U1763" s="292"/>
      <c r="V1763" s="259"/>
      <c r="W1763" s="259"/>
    </row>
    <row r="1764" spans="1:23" s="247" customFormat="1" x14ac:dyDescent="0.25">
      <c r="A1764" s="228"/>
      <c r="B1764" s="283"/>
      <c r="C1764" s="284"/>
      <c r="D1764" s="283"/>
      <c r="E1764" s="284"/>
      <c r="F1764" s="284"/>
      <c r="G1764" s="285"/>
      <c r="H1764" s="285"/>
      <c r="I1764" s="285"/>
      <c r="J1764" s="286"/>
      <c r="K1764" s="285"/>
      <c r="L1764" s="285"/>
      <c r="M1764" s="285"/>
      <c r="N1764" s="283"/>
      <c r="O1764" s="287"/>
      <c r="P1764" s="288"/>
      <c r="Q1764" s="289"/>
      <c r="R1764" s="290"/>
      <c r="S1764" s="291"/>
      <c r="T1764" s="291"/>
      <c r="U1764" s="292"/>
      <c r="V1764" s="259"/>
      <c r="W1764" s="259"/>
    </row>
    <row r="1765" spans="1:23" s="247" customFormat="1" x14ac:dyDescent="0.25">
      <c r="A1765" s="228"/>
      <c r="B1765" s="283"/>
      <c r="C1765" s="284"/>
      <c r="D1765" s="283"/>
      <c r="E1765" s="284"/>
      <c r="F1765" s="284"/>
      <c r="G1765" s="285"/>
      <c r="H1765" s="285"/>
      <c r="I1765" s="285"/>
      <c r="J1765" s="286"/>
      <c r="K1765" s="285"/>
      <c r="L1765" s="285"/>
      <c r="M1765" s="285"/>
      <c r="N1765" s="283"/>
      <c r="O1765" s="287"/>
      <c r="P1765" s="288"/>
      <c r="Q1765" s="289"/>
      <c r="R1765" s="290"/>
      <c r="S1765" s="291"/>
      <c r="T1765" s="291"/>
      <c r="U1765" s="292"/>
      <c r="V1765" s="259"/>
      <c r="W1765" s="259"/>
    </row>
    <row r="1766" spans="1:23" s="247" customFormat="1" x14ac:dyDescent="0.25">
      <c r="A1766" s="228"/>
      <c r="B1766" s="283"/>
      <c r="C1766" s="284"/>
      <c r="D1766" s="283"/>
      <c r="E1766" s="284"/>
      <c r="F1766" s="284"/>
      <c r="G1766" s="285"/>
      <c r="H1766" s="285"/>
      <c r="I1766" s="285"/>
      <c r="J1766" s="286"/>
      <c r="K1766" s="285"/>
      <c r="L1766" s="285"/>
      <c r="M1766" s="285"/>
      <c r="N1766" s="283"/>
      <c r="O1766" s="287"/>
      <c r="P1766" s="288"/>
      <c r="Q1766" s="289"/>
      <c r="R1766" s="290"/>
      <c r="S1766" s="291"/>
      <c r="T1766" s="291"/>
      <c r="U1766" s="292"/>
      <c r="V1766" s="259"/>
      <c r="W1766" s="259"/>
    </row>
    <row r="1767" spans="1:23" s="247" customFormat="1" x14ac:dyDescent="0.25">
      <c r="A1767" s="228"/>
      <c r="B1767" s="283"/>
      <c r="C1767" s="284"/>
      <c r="D1767" s="283"/>
      <c r="E1767" s="284"/>
      <c r="F1767" s="284"/>
      <c r="G1767" s="285"/>
      <c r="H1767" s="285"/>
      <c r="I1767" s="285"/>
      <c r="J1767" s="286"/>
      <c r="K1767" s="285"/>
      <c r="L1767" s="285"/>
      <c r="M1767" s="285"/>
      <c r="N1767" s="283"/>
      <c r="O1767" s="287"/>
      <c r="P1767" s="288"/>
      <c r="Q1767" s="289"/>
      <c r="R1767" s="290"/>
      <c r="S1767" s="291"/>
      <c r="T1767" s="291"/>
      <c r="U1767" s="292"/>
      <c r="V1767" s="259"/>
      <c r="W1767" s="259"/>
    </row>
    <row r="1768" spans="1:23" s="247" customFormat="1" x14ac:dyDescent="0.25">
      <c r="A1768" s="228"/>
      <c r="B1768" s="283"/>
      <c r="C1768" s="284"/>
      <c r="D1768" s="283"/>
      <c r="E1768" s="284"/>
      <c r="F1768" s="284"/>
      <c r="G1768" s="285"/>
      <c r="H1768" s="285"/>
      <c r="I1768" s="285"/>
      <c r="J1768" s="286"/>
      <c r="K1768" s="285"/>
      <c r="L1768" s="285"/>
      <c r="M1768" s="285"/>
      <c r="N1768" s="283"/>
      <c r="O1768" s="287"/>
      <c r="P1768" s="288"/>
      <c r="Q1768" s="289"/>
      <c r="R1768" s="290"/>
      <c r="S1768" s="291"/>
      <c r="T1768" s="291"/>
      <c r="U1768" s="292"/>
      <c r="V1768" s="259"/>
      <c r="W1768" s="259"/>
    </row>
    <row r="1769" spans="1:23" s="247" customFormat="1" x14ac:dyDescent="0.25">
      <c r="A1769" s="228"/>
      <c r="B1769" s="283"/>
      <c r="C1769" s="284"/>
      <c r="D1769" s="283"/>
      <c r="E1769" s="284"/>
      <c r="F1769" s="284"/>
      <c r="G1769" s="285"/>
      <c r="H1769" s="285"/>
      <c r="I1769" s="285"/>
      <c r="J1769" s="286"/>
      <c r="K1769" s="285"/>
      <c r="L1769" s="285"/>
      <c r="M1769" s="285"/>
      <c r="N1769" s="283"/>
      <c r="O1769" s="287"/>
      <c r="P1769" s="288"/>
      <c r="Q1769" s="289"/>
      <c r="R1769" s="290"/>
      <c r="S1769" s="291"/>
      <c r="T1769" s="291"/>
      <c r="U1769" s="292"/>
      <c r="V1769" s="259"/>
      <c r="W1769" s="259"/>
    </row>
    <row r="1770" spans="1:23" s="247" customFormat="1" x14ac:dyDescent="0.25">
      <c r="A1770" s="228"/>
      <c r="B1770" s="283"/>
      <c r="C1770" s="284"/>
      <c r="D1770" s="283"/>
      <c r="E1770" s="284"/>
      <c r="F1770" s="284"/>
      <c r="G1770" s="285"/>
      <c r="H1770" s="285"/>
      <c r="I1770" s="285"/>
      <c r="J1770" s="286"/>
      <c r="K1770" s="285"/>
      <c r="L1770" s="285"/>
      <c r="M1770" s="285"/>
      <c r="N1770" s="283"/>
      <c r="O1770" s="287"/>
      <c r="P1770" s="288"/>
      <c r="Q1770" s="289"/>
      <c r="R1770" s="290"/>
      <c r="S1770" s="291"/>
      <c r="T1770" s="291"/>
      <c r="U1770" s="292"/>
      <c r="V1770" s="259"/>
      <c r="W1770" s="259"/>
    </row>
    <row r="1771" spans="1:23" s="247" customFormat="1" x14ac:dyDescent="0.25">
      <c r="A1771" s="228"/>
      <c r="B1771" s="283"/>
      <c r="C1771" s="284"/>
      <c r="D1771" s="283"/>
      <c r="E1771" s="284"/>
      <c r="F1771" s="284"/>
      <c r="G1771" s="285"/>
      <c r="H1771" s="285"/>
      <c r="I1771" s="285"/>
      <c r="J1771" s="286"/>
      <c r="K1771" s="285"/>
      <c r="L1771" s="285"/>
      <c r="M1771" s="285"/>
      <c r="N1771" s="283"/>
      <c r="O1771" s="287"/>
      <c r="P1771" s="288"/>
      <c r="Q1771" s="289"/>
      <c r="R1771" s="290"/>
      <c r="S1771" s="291"/>
      <c r="T1771" s="291"/>
      <c r="U1771" s="292"/>
      <c r="V1771" s="259"/>
      <c r="W1771" s="259"/>
    </row>
    <row r="1772" spans="1:23" s="247" customFormat="1" x14ac:dyDescent="0.25">
      <c r="A1772" s="228"/>
      <c r="B1772" s="283"/>
      <c r="C1772" s="284"/>
      <c r="D1772" s="283"/>
      <c r="E1772" s="284"/>
      <c r="F1772" s="284"/>
      <c r="G1772" s="285"/>
      <c r="H1772" s="285"/>
      <c r="I1772" s="285"/>
      <c r="J1772" s="286"/>
      <c r="K1772" s="285"/>
      <c r="L1772" s="285"/>
      <c r="M1772" s="285"/>
      <c r="N1772" s="283"/>
      <c r="O1772" s="287"/>
      <c r="P1772" s="288"/>
      <c r="Q1772" s="289"/>
      <c r="R1772" s="290"/>
      <c r="S1772" s="291"/>
      <c r="T1772" s="291"/>
      <c r="U1772" s="292"/>
      <c r="V1772" s="259"/>
      <c r="W1772" s="259"/>
    </row>
    <row r="1773" spans="1:23" s="247" customFormat="1" x14ac:dyDescent="0.25">
      <c r="A1773" s="228"/>
      <c r="B1773" s="283"/>
      <c r="C1773" s="284"/>
      <c r="D1773" s="283"/>
      <c r="E1773" s="284"/>
      <c r="F1773" s="284"/>
      <c r="G1773" s="285"/>
      <c r="H1773" s="285"/>
      <c r="I1773" s="285"/>
      <c r="J1773" s="286"/>
      <c r="K1773" s="285"/>
      <c r="L1773" s="285"/>
      <c r="M1773" s="285"/>
      <c r="N1773" s="283"/>
      <c r="O1773" s="287"/>
      <c r="P1773" s="288"/>
      <c r="Q1773" s="289"/>
      <c r="R1773" s="290"/>
      <c r="S1773" s="291"/>
      <c r="T1773" s="291"/>
      <c r="U1773" s="292"/>
      <c r="V1773" s="259"/>
      <c r="W1773" s="259"/>
    </row>
    <row r="1774" spans="1:23" s="247" customFormat="1" x14ac:dyDescent="0.25">
      <c r="A1774" s="228"/>
      <c r="B1774" s="283"/>
      <c r="C1774" s="284"/>
      <c r="D1774" s="283"/>
      <c r="E1774" s="284"/>
      <c r="F1774" s="284"/>
      <c r="G1774" s="285"/>
      <c r="H1774" s="285"/>
      <c r="I1774" s="285"/>
      <c r="J1774" s="286"/>
      <c r="K1774" s="285"/>
      <c r="L1774" s="285"/>
      <c r="M1774" s="285"/>
      <c r="N1774" s="283"/>
      <c r="O1774" s="287"/>
      <c r="P1774" s="288"/>
      <c r="Q1774" s="289"/>
      <c r="R1774" s="290"/>
      <c r="S1774" s="291"/>
      <c r="T1774" s="291"/>
      <c r="U1774" s="292"/>
      <c r="V1774" s="259"/>
      <c r="W1774" s="259"/>
    </row>
    <row r="1775" spans="1:23" s="247" customFormat="1" x14ac:dyDescent="0.25">
      <c r="A1775" s="228"/>
      <c r="B1775" s="283"/>
      <c r="C1775" s="284"/>
      <c r="D1775" s="283"/>
      <c r="E1775" s="284"/>
      <c r="F1775" s="284"/>
      <c r="G1775" s="285"/>
      <c r="H1775" s="285"/>
      <c r="I1775" s="285"/>
      <c r="J1775" s="286"/>
      <c r="K1775" s="285"/>
      <c r="L1775" s="285"/>
      <c r="M1775" s="285"/>
      <c r="N1775" s="283"/>
      <c r="O1775" s="287"/>
      <c r="P1775" s="288"/>
      <c r="Q1775" s="289"/>
      <c r="R1775" s="290"/>
      <c r="S1775" s="291"/>
      <c r="T1775" s="291"/>
      <c r="U1775" s="292"/>
      <c r="V1775" s="259"/>
      <c r="W1775" s="259"/>
    </row>
    <row r="1776" spans="1:23" s="247" customFormat="1" x14ac:dyDescent="0.25">
      <c r="A1776" s="228"/>
      <c r="B1776" s="283"/>
      <c r="C1776" s="284"/>
      <c r="D1776" s="283"/>
      <c r="E1776" s="284"/>
      <c r="F1776" s="284"/>
      <c r="G1776" s="285"/>
      <c r="H1776" s="285"/>
      <c r="I1776" s="285"/>
      <c r="J1776" s="286"/>
      <c r="K1776" s="285"/>
      <c r="L1776" s="285"/>
      <c r="M1776" s="285"/>
      <c r="N1776" s="283"/>
      <c r="O1776" s="287"/>
      <c r="P1776" s="288"/>
      <c r="Q1776" s="289"/>
      <c r="R1776" s="290"/>
      <c r="S1776" s="291"/>
      <c r="T1776" s="291"/>
      <c r="U1776" s="292"/>
      <c r="V1776" s="259"/>
      <c r="W1776" s="259"/>
    </row>
    <row r="1777" spans="1:23" s="247" customFormat="1" x14ac:dyDescent="0.25">
      <c r="A1777" s="228"/>
      <c r="B1777" s="283"/>
      <c r="C1777" s="284"/>
      <c r="D1777" s="283"/>
      <c r="E1777" s="284"/>
      <c r="F1777" s="284"/>
      <c r="G1777" s="285"/>
      <c r="H1777" s="285"/>
      <c r="I1777" s="285"/>
      <c r="J1777" s="286"/>
      <c r="K1777" s="285"/>
      <c r="L1777" s="285"/>
      <c r="M1777" s="285"/>
      <c r="N1777" s="283"/>
      <c r="O1777" s="287"/>
      <c r="P1777" s="288"/>
      <c r="Q1777" s="289"/>
      <c r="R1777" s="290"/>
      <c r="S1777" s="291"/>
      <c r="T1777" s="291"/>
      <c r="U1777" s="292"/>
      <c r="V1777" s="259"/>
      <c r="W1777" s="259"/>
    </row>
    <row r="1778" spans="1:23" s="247" customFormat="1" x14ac:dyDescent="0.25">
      <c r="A1778" s="228"/>
      <c r="B1778" s="283"/>
      <c r="C1778" s="284"/>
      <c r="D1778" s="283"/>
      <c r="E1778" s="284"/>
      <c r="F1778" s="284"/>
      <c r="G1778" s="285"/>
      <c r="H1778" s="285"/>
      <c r="I1778" s="285"/>
      <c r="J1778" s="286"/>
      <c r="K1778" s="285"/>
      <c r="L1778" s="285"/>
      <c r="M1778" s="285"/>
      <c r="N1778" s="283"/>
      <c r="O1778" s="287"/>
      <c r="P1778" s="288"/>
      <c r="Q1778" s="289"/>
      <c r="R1778" s="290"/>
      <c r="S1778" s="291"/>
      <c r="T1778" s="291"/>
      <c r="U1778" s="292"/>
      <c r="V1778" s="259"/>
      <c r="W1778" s="259"/>
    </row>
    <row r="1779" spans="1:23" s="247" customFormat="1" x14ac:dyDescent="0.25">
      <c r="A1779" s="228"/>
      <c r="B1779" s="283"/>
      <c r="C1779" s="284"/>
      <c r="D1779" s="283"/>
      <c r="E1779" s="284"/>
      <c r="F1779" s="284"/>
      <c r="G1779" s="285"/>
      <c r="H1779" s="285"/>
      <c r="I1779" s="285"/>
      <c r="J1779" s="286"/>
      <c r="K1779" s="285"/>
      <c r="L1779" s="285"/>
      <c r="M1779" s="285"/>
      <c r="N1779" s="283"/>
      <c r="O1779" s="287"/>
      <c r="P1779" s="288"/>
      <c r="Q1779" s="289"/>
      <c r="R1779" s="290"/>
      <c r="S1779" s="291"/>
      <c r="T1779" s="291"/>
      <c r="U1779" s="292"/>
      <c r="V1779" s="259"/>
      <c r="W1779" s="259"/>
    </row>
    <row r="1780" spans="1:23" s="247" customFormat="1" x14ac:dyDescent="0.25">
      <c r="A1780" s="228"/>
      <c r="B1780" s="283"/>
      <c r="C1780" s="284"/>
      <c r="D1780" s="283"/>
      <c r="E1780" s="284"/>
      <c r="F1780" s="284"/>
      <c r="G1780" s="285"/>
      <c r="H1780" s="285"/>
      <c r="I1780" s="285"/>
      <c r="J1780" s="286"/>
      <c r="K1780" s="285"/>
      <c r="L1780" s="285"/>
      <c r="M1780" s="285"/>
      <c r="N1780" s="283"/>
      <c r="O1780" s="287"/>
      <c r="P1780" s="288"/>
      <c r="Q1780" s="289"/>
      <c r="R1780" s="290"/>
      <c r="S1780" s="291"/>
      <c r="T1780" s="291"/>
      <c r="U1780" s="292"/>
      <c r="V1780" s="259"/>
      <c r="W1780" s="259"/>
    </row>
    <row r="1781" spans="1:23" s="247" customFormat="1" x14ac:dyDescent="0.25">
      <c r="A1781" s="228"/>
      <c r="B1781" s="283"/>
      <c r="C1781" s="284"/>
      <c r="D1781" s="283"/>
      <c r="E1781" s="284"/>
      <c r="F1781" s="284"/>
      <c r="G1781" s="285"/>
      <c r="H1781" s="285"/>
      <c r="I1781" s="285"/>
      <c r="J1781" s="286"/>
      <c r="K1781" s="285"/>
      <c r="L1781" s="285"/>
      <c r="M1781" s="285"/>
      <c r="N1781" s="283"/>
      <c r="O1781" s="287"/>
      <c r="P1781" s="288"/>
      <c r="Q1781" s="289"/>
      <c r="R1781" s="290"/>
      <c r="S1781" s="291"/>
      <c r="T1781" s="291"/>
      <c r="U1781" s="292"/>
      <c r="V1781" s="259"/>
      <c r="W1781" s="259"/>
    </row>
    <row r="1782" spans="1:23" s="247" customFormat="1" x14ac:dyDescent="0.25">
      <c r="A1782" s="228"/>
      <c r="B1782" s="283"/>
      <c r="C1782" s="284"/>
      <c r="D1782" s="283"/>
      <c r="E1782" s="284"/>
      <c r="F1782" s="284"/>
      <c r="G1782" s="285"/>
      <c r="H1782" s="285"/>
      <c r="I1782" s="285"/>
      <c r="J1782" s="286"/>
      <c r="K1782" s="285"/>
      <c r="L1782" s="285"/>
      <c r="M1782" s="285"/>
      <c r="N1782" s="283"/>
      <c r="O1782" s="287"/>
      <c r="P1782" s="288"/>
      <c r="Q1782" s="289"/>
      <c r="R1782" s="290"/>
      <c r="S1782" s="291"/>
      <c r="T1782" s="291"/>
      <c r="U1782" s="292"/>
      <c r="V1782" s="259"/>
      <c r="W1782" s="259"/>
    </row>
    <row r="1783" spans="1:23" s="247" customFormat="1" x14ac:dyDescent="0.25">
      <c r="A1783" s="228"/>
      <c r="B1783" s="283"/>
      <c r="C1783" s="284"/>
      <c r="D1783" s="283"/>
      <c r="E1783" s="284"/>
      <c r="F1783" s="284"/>
      <c r="G1783" s="285"/>
      <c r="H1783" s="285"/>
      <c r="I1783" s="285"/>
      <c r="J1783" s="286"/>
      <c r="K1783" s="285"/>
      <c r="L1783" s="285"/>
      <c r="M1783" s="285"/>
      <c r="N1783" s="283"/>
      <c r="O1783" s="287"/>
      <c r="P1783" s="288"/>
      <c r="Q1783" s="289"/>
      <c r="R1783" s="290"/>
      <c r="S1783" s="291"/>
      <c r="T1783" s="291"/>
      <c r="U1783" s="292"/>
      <c r="V1783" s="259"/>
      <c r="W1783" s="259"/>
    </row>
    <row r="1784" spans="1:23" s="247" customFormat="1" x14ac:dyDescent="0.25">
      <c r="A1784" s="228"/>
      <c r="B1784" s="283"/>
      <c r="C1784" s="284"/>
      <c r="D1784" s="283"/>
      <c r="E1784" s="284"/>
      <c r="F1784" s="284"/>
      <c r="G1784" s="285"/>
      <c r="H1784" s="285"/>
      <c r="I1784" s="285"/>
      <c r="J1784" s="286"/>
      <c r="K1784" s="285"/>
      <c r="L1784" s="285"/>
      <c r="M1784" s="285"/>
      <c r="N1784" s="283"/>
      <c r="O1784" s="287"/>
      <c r="P1784" s="288"/>
      <c r="Q1784" s="289"/>
      <c r="R1784" s="290"/>
      <c r="S1784" s="291"/>
      <c r="T1784" s="291"/>
      <c r="U1784" s="292"/>
      <c r="V1784" s="259"/>
      <c r="W1784" s="259"/>
    </row>
    <row r="1785" spans="1:23" s="247" customFormat="1" x14ac:dyDescent="0.25">
      <c r="A1785" s="228"/>
      <c r="B1785" s="283"/>
      <c r="C1785" s="284"/>
      <c r="D1785" s="283"/>
      <c r="E1785" s="284"/>
      <c r="F1785" s="284"/>
      <c r="G1785" s="285"/>
      <c r="H1785" s="285"/>
      <c r="I1785" s="285"/>
      <c r="J1785" s="286"/>
      <c r="K1785" s="285"/>
      <c r="L1785" s="285"/>
      <c r="M1785" s="285"/>
      <c r="N1785" s="283"/>
      <c r="O1785" s="287"/>
      <c r="P1785" s="288"/>
      <c r="Q1785" s="289"/>
      <c r="R1785" s="290"/>
      <c r="S1785" s="291"/>
      <c r="T1785" s="291"/>
      <c r="U1785" s="292"/>
      <c r="V1785" s="259"/>
      <c r="W1785" s="259"/>
    </row>
    <row r="1786" spans="1:23" s="247" customFormat="1" x14ac:dyDescent="0.25">
      <c r="A1786" s="228"/>
      <c r="B1786" s="283"/>
      <c r="C1786" s="284"/>
      <c r="D1786" s="283"/>
      <c r="E1786" s="284"/>
      <c r="F1786" s="284"/>
      <c r="G1786" s="285"/>
      <c r="H1786" s="285"/>
      <c r="I1786" s="285"/>
      <c r="J1786" s="286"/>
      <c r="K1786" s="285"/>
      <c r="L1786" s="285"/>
      <c r="M1786" s="285"/>
      <c r="N1786" s="283"/>
      <c r="O1786" s="287"/>
      <c r="P1786" s="288"/>
      <c r="Q1786" s="289"/>
      <c r="R1786" s="290"/>
      <c r="S1786" s="291"/>
      <c r="T1786" s="291"/>
      <c r="U1786" s="292"/>
      <c r="V1786" s="259"/>
      <c r="W1786" s="259"/>
    </row>
    <row r="1787" spans="1:23" s="247" customFormat="1" x14ac:dyDescent="0.25">
      <c r="A1787" s="228"/>
      <c r="B1787" s="283"/>
      <c r="C1787" s="284"/>
      <c r="D1787" s="283"/>
      <c r="E1787" s="284"/>
      <c r="F1787" s="284"/>
      <c r="G1787" s="285"/>
      <c r="H1787" s="285"/>
      <c r="I1787" s="285"/>
      <c r="J1787" s="286"/>
      <c r="K1787" s="285"/>
      <c r="L1787" s="285"/>
      <c r="M1787" s="285"/>
      <c r="N1787" s="283"/>
      <c r="O1787" s="287"/>
      <c r="P1787" s="288"/>
      <c r="Q1787" s="289"/>
      <c r="R1787" s="290"/>
      <c r="S1787" s="291"/>
      <c r="T1787" s="291"/>
      <c r="U1787" s="292"/>
      <c r="V1787" s="259"/>
      <c r="W1787" s="259"/>
    </row>
    <row r="1788" spans="1:23" s="247" customFormat="1" x14ac:dyDescent="0.25">
      <c r="A1788" s="228"/>
      <c r="B1788" s="283"/>
      <c r="C1788" s="284"/>
      <c r="D1788" s="283"/>
      <c r="E1788" s="284"/>
      <c r="F1788" s="284"/>
      <c r="G1788" s="285"/>
      <c r="H1788" s="285"/>
      <c r="I1788" s="285"/>
      <c r="J1788" s="286"/>
      <c r="K1788" s="285"/>
      <c r="L1788" s="285"/>
      <c r="M1788" s="285"/>
      <c r="N1788" s="283"/>
      <c r="O1788" s="287"/>
      <c r="P1788" s="288"/>
      <c r="Q1788" s="289"/>
      <c r="R1788" s="290"/>
      <c r="S1788" s="291"/>
      <c r="T1788" s="291"/>
      <c r="U1788" s="292"/>
      <c r="V1788" s="259"/>
      <c r="W1788" s="293"/>
    </row>
    <row r="1789" spans="1:23" s="247" customFormat="1" x14ac:dyDescent="0.25">
      <c r="A1789" s="228"/>
      <c r="B1789" s="283"/>
      <c r="C1789" s="284"/>
      <c r="D1789" s="283"/>
      <c r="E1789" s="284"/>
      <c r="F1789" s="284"/>
      <c r="G1789" s="285"/>
      <c r="H1789" s="285"/>
      <c r="I1789" s="285"/>
      <c r="J1789" s="286"/>
      <c r="K1789" s="285"/>
      <c r="L1789" s="285"/>
      <c r="M1789" s="285"/>
      <c r="N1789" s="283"/>
      <c r="O1789" s="287"/>
      <c r="P1789" s="288"/>
      <c r="Q1789" s="289"/>
      <c r="R1789" s="290"/>
      <c r="S1789" s="291"/>
      <c r="T1789" s="291"/>
      <c r="U1789" s="292"/>
      <c r="V1789" s="259"/>
      <c r="W1789" s="259"/>
    </row>
    <row r="1790" spans="1:23" s="247" customFormat="1" x14ac:dyDescent="0.25">
      <c r="A1790" s="228"/>
      <c r="B1790" s="283"/>
      <c r="C1790" s="284"/>
      <c r="D1790" s="283"/>
      <c r="E1790" s="284"/>
      <c r="F1790" s="284"/>
      <c r="G1790" s="285"/>
      <c r="H1790" s="285"/>
      <c r="I1790" s="285"/>
      <c r="J1790" s="286"/>
      <c r="K1790" s="285"/>
      <c r="L1790" s="285"/>
      <c r="M1790" s="285"/>
      <c r="N1790" s="283"/>
      <c r="O1790" s="287"/>
      <c r="P1790" s="288"/>
      <c r="Q1790" s="289"/>
      <c r="R1790" s="290"/>
      <c r="S1790" s="291"/>
      <c r="T1790" s="291"/>
      <c r="U1790" s="292"/>
      <c r="V1790" s="259"/>
      <c r="W1790" s="259"/>
    </row>
    <row r="1791" spans="1:23" s="247" customFormat="1" x14ac:dyDescent="0.25">
      <c r="A1791" s="228"/>
      <c r="B1791" s="283"/>
      <c r="C1791" s="284"/>
      <c r="D1791" s="283"/>
      <c r="E1791" s="284"/>
      <c r="F1791" s="284"/>
      <c r="G1791" s="285"/>
      <c r="H1791" s="285"/>
      <c r="I1791" s="285"/>
      <c r="J1791" s="286"/>
      <c r="K1791" s="285"/>
      <c r="L1791" s="285"/>
      <c r="M1791" s="285"/>
      <c r="N1791" s="283"/>
      <c r="O1791" s="287"/>
      <c r="P1791" s="288"/>
      <c r="Q1791" s="289"/>
      <c r="R1791" s="290"/>
      <c r="S1791" s="291"/>
      <c r="T1791" s="291"/>
      <c r="U1791" s="292"/>
      <c r="V1791" s="259"/>
      <c r="W1791" s="259"/>
    </row>
    <row r="1792" spans="1:23" s="247" customFormat="1" x14ac:dyDescent="0.25">
      <c r="A1792" s="228"/>
      <c r="B1792" s="283"/>
      <c r="C1792" s="284"/>
      <c r="D1792" s="283"/>
      <c r="E1792" s="284"/>
      <c r="F1792" s="284"/>
      <c r="G1792" s="285"/>
      <c r="H1792" s="285"/>
      <c r="I1792" s="285"/>
      <c r="J1792" s="286"/>
      <c r="K1792" s="285"/>
      <c r="L1792" s="285"/>
      <c r="M1792" s="285"/>
      <c r="N1792" s="283"/>
      <c r="O1792" s="287"/>
      <c r="P1792" s="288"/>
      <c r="Q1792" s="289"/>
      <c r="R1792" s="290"/>
      <c r="S1792" s="291"/>
      <c r="T1792" s="291"/>
      <c r="U1792" s="292"/>
      <c r="V1792" s="259"/>
      <c r="W1792" s="259"/>
    </row>
    <row r="1793" spans="1:23" s="247" customFormat="1" x14ac:dyDescent="0.25">
      <c r="A1793" s="228"/>
      <c r="B1793" s="283"/>
      <c r="C1793" s="284"/>
      <c r="D1793" s="283"/>
      <c r="E1793" s="259"/>
      <c r="F1793" s="259"/>
      <c r="G1793" s="274"/>
      <c r="H1793" s="274"/>
      <c r="I1793" s="274"/>
      <c r="J1793" s="270"/>
      <c r="K1793" s="274"/>
      <c r="L1793" s="274"/>
      <c r="M1793" s="274"/>
      <c r="N1793" s="267"/>
      <c r="O1793" s="287"/>
      <c r="P1793" s="288"/>
      <c r="Q1793" s="289"/>
      <c r="R1793" s="290"/>
      <c r="S1793" s="291"/>
      <c r="T1793" s="291"/>
      <c r="U1793" s="292"/>
      <c r="V1793" s="259"/>
      <c r="W1793" s="259"/>
    </row>
    <row r="1794" spans="1:23" s="247" customFormat="1" x14ac:dyDescent="0.25">
      <c r="A1794" s="228"/>
      <c r="B1794" s="283"/>
      <c r="C1794" s="284"/>
      <c r="D1794" s="283"/>
      <c r="E1794" s="284"/>
      <c r="F1794" s="284"/>
      <c r="G1794" s="285"/>
      <c r="H1794" s="285"/>
      <c r="I1794" s="285"/>
      <c r="J1794" s="286"/>
      <c r="K1794" s="285"/>
      <c r="L1794" s="285"/>
      <c r="M1794" s="285"/>
      <c r="N1794" s="283"/>
      <c r="O1794" s="287"/>
      <c r="P1794" s="288"/>
      <c r="Q1794" s="289"/>
      <c r="R1794" s="290"/>
      <c r="S1794" s="291"/>
      <c r="T1794" s="291"/>
      <c r="U1794" s="292"/>
      <c r="V1794" s="259"/>
      <c r="W1794" s="259"/>
    </row>
    <row r="1795" spans="1:23" s="247" customFormat="1" x14ac:dyDescent="0.25">
      <c r="A1795" s="228"/>
      <c r="B1795" s="283"/>
      <c r="C1795" s="284"/>
      <c r="D1795" s="283"/>
      <c r="E1795" s="284"/>
      <c r="F1795" s="284"/>
      <c r="G1795" s="285"/>
      <c r="H1795" s="285"/>
      <c r="I1795" s="285"/>
      <c r="J1795" s="286"/>
      <c r="K1795" s="285"/>
      <c r="L1795" s="285"/>
      <c r="M1795" s="285"/>
      <c r="N1795" s="283"/>
      <c r="O1795" s="287"/>
      <c r="P1795" s="288"/>
      <c r="Q1795" s="289"/>
      <c r="R1795" s="290"/>
      <c r="S1795" s="291"/>
      <c r="T1795" s="291"/>
      <c r="U1795" s="292"/>
      <c r="V1795" s="259"/>
      <c r="W1795" s="259"/>
    </row>
    <row r="1796" spans="1:23" s="247" customFormat="1" x14ac:dyDescent="0.25">
      <c r="A1796" s="228"/>
      <c r="B1796" s="283"/>
      <c r="C1796" s="284"/>
      <c r="D1796" s="283"/>
      <c r="E1796" s="284"/>
      <c r="F1796" s="284"/>
      <c r="G1796" s="285"/>
      <c r="H1796" s="285"/>
      <c r="I1796" s="285"/>
      <c r="J1796" s="286"/>
      <c r="K1796" s="285"/>
      <c r="L1796" s="285"/>
      <c r="M1796" s="285"/>
      <c r="N1796" s="283"/>
      <c r="O1796" s="287"/>
      <c r="P1796" s="288"/>
      <c r="Q1796" s="289"/>
      <c r="R1796" s="290"/>
      <c r="S1796" s="291"/>
      <c r="T1796" s="291"/>
      <c r="U1796" s="292"/>
      <c r="V1796" s="259"/>
      <c r="W1796" s="259"/>
    </row>
    <row r="1797" spans="1:23" s="247" customFormat="1" x14ac:dyDescent="0.25">
      <c r="A1797" s="228"/>
      <c r="B1797" s="283"/>
      <c r="C1797" s="284"/>
      <c r="D1797" s="283"/>
      <c r="E1797" s="284"/>
      <c r="F1797" s="284"/>
      <c r="G1797" s="285"/>
      <c r="H1797" s="285"/>
      <c r="I1797" s="285"/>
      <c r="J1797" s="286"/>
      <c r="K1797" s="285"/>
      <c r="L1797" s="285"/>
      <c r="M1797" s="285"/>
      <c r="N1797" s="283"/>
      <c r="O1797" s="287"/>
      <c r="P1797" s="288"/>
      <c r="Q1797" s="289"/>
      <c r="R1797" s="290"/>
      <c r="S1797" s="291"/>
      <c r="T1797" s="291"/>
      <c r="U1797" s="292"/>
      <c r="V1797" s="259"/>
      <c r="W1797" s="259"/>
    </row>
    <row r="1798" spans="1:23" s="247" customFormat="1" x14ac:dyDescent="0.25">
      <c r="A1798" s="228"/>
      <c r="B1798" s="283"/>
      <c r="C1798" s="284"/>
      <c r="D1798" s="283"/>
      <c r="E1798" s="284"/>
      <c r="F1798" s="284"/>
      <c r="G1798" s="285"/>
      <c r="H1798" s="285"/>
      <c r="I1798" s="285"/>
      <c r="J1798" s="286"/>
      <c r="K1798" s="285"/>
      <c r="L1798" s="285"/>
      <c r="M1798" s="285"/>
      <c r="N1798" s="283"/>
      <c r="O1798" s="287"/>
      <c r="P1798" s="288"/>
      <c r="Q1798" s="289"/>
      <c r="R1798" s="290"/>
      <c r="S1798" s="291"/>
      <c r="T1798" s="291"/>
      <c r="U1798" s="292"/>
      <c r="V1798" s="259"/>
      <c r="W1798" s="259"/>
    </row>
    <row r="1799" spans="1:23" s="247" customFormat="1" x14ac:dyDescent="0.25">
      <c r="A1799" s="228"/>
      <c r="B1799" s="283"/>
      <c r="C1799" s="284"/>
      <c r="D1799" s="283"/>
      <c r="E1799" s="284"/>
      <c r="F1799" s="284"/>
      <c r="G1799" s="285"/>
      <c r="H1799" s="285"/>
      <c r="I1799" s="285"/>
      <c r="J1799" s="286"/>
      <c r="K1799" s="285"/>
      <c r="L1799" s="285"/>
      <c r="M1799" s="285"/>
      <c r="N1799" s="283"/>
      <c r="O1799" s="287"/>
      <c r="P1799" s="288"/>
      <c r="Q1799" s="289"/>
      <c r="R1799" s="290"/>
      <c r="S1799" s="291"/>
      <c r="T1799" s="291"/>
      <c r="U1799" s="292"/>
      <c r="V1799" s="259"/>
      <c r="W1799" s="294"/>
    </row>
    <row r="1800" spans="1:23" s="247" customFormat="1" x14ac:dyDescent="0.25">
      <c r="A1800" s="228"/>
      <c r="B1800" s="283"/>
      <c r="C1800" s="284"/>
      <c r="D1800" s="283"/>
      <c r="E1800" s="284"/>
      <c r="F1800" s="284"/>
      <c r="G1800" s="285"/>
      <c r="H1800" s="285"/>
      <c r="I1800" s="285"/>
      <c r="J1800" s="286"/>
      <c r="K1800" s="285"/>
      <c r="L1800" s="285"/>
      <c r="M1800" s="285"/>
      <c r="N1800" s="283"/>
      <c r="O1800" s="287"/>
      <c r="P1800" s="288"/>
      <c r="Q1800" s="289"/>
      <c r="R1800" s="290"/>
      <c r="S1800" s="291"/>
      <c r="T1800" s="291"/>
      <c r="U1800" s="292"/>
      <c r="V1800" s="259"/>
      <c r="W1800" s="259"/>
    </row>
    <row r="1801" spans="1:23" s="247" customFormat="1" x14ac:dyDescent="0.25">
      <c r="A1801" s="228"/>
      <c r="B1801" s="283"/>
      <c r="C1801" s="284"/>
      <c r="D1801" s="283"/>
      <c r="E1801" s="284"/>
      <c r="F1801" s="284"/>
      <c r="G1801" s="285"/>
      <c r="H1801" s="285"/>
      <c r="I1801" s="285"/>
      <c r="J1801" s="286"/>
      <c r="K1801" s="285"/>
      <c r="L1801" s="285"/>
      <c r="M1801" s="285"/>
      <c r="N1801" s="283"/>
      <c r="O1801" s="287"/>
      <c r="P1801" s="288"/>
      <c r="Q1801" s="289"/>
      <c r="R1801" s="290"/>
      <c r="S1801" s="291"/>
      <c r="T1801" s="291"/>
      <c r="U1801" s="292"/>
      <c r="V1801" s="259"/>
      <c r="W1801" s="259"/>
    </row>
    <row r="1802" spans="1:23" s="247" customFormat="1" x14ac:dyDescent="0.25">
      <c r="A1802" s="228"/>
      <c r="B1802" s="283"/>
      <c r="C1802" s="284"/>
      <c r="D1802" s="283"/>
      <c r="E1802" s="284"/>
      <c r="F1802" s="284"/>
      <c r="G1802" s="285"/>
      <c r="H1802" s="285"/>
      <c r="I1802" s="285"/>
      <c r="J1802" s="286"/>
      <c r="K1802" s="285"/>
      <c r="L1802" s="285"/>
      <c r="M1802" s="285"/>
      <c r="N1802" s="283"/>
      <c r="O1802" s="287"/>
      <c r="P1802" s="288"/>
      <c r="Q1802" s="289"/>
      <c r="R1802" s="290"/>
      <c r="S1802" s="291"/>
      <c r="T1802" s="291"/>
      <c r="U1802" s="292"/>
      <c r="V1802" s="259"/>
      <c r="W1802" s="259"/>
    </row>
    <row r="1803" spans="1:23" s="247" customFormat="1" x14ac:dyDescent="0.25">
      <c r="A1803" s="228"/>
      <c r="B1803" s="283"/>
      <c r="C1803" s="284"/>
      <c r="D1803" s="283"/>
      <c r="E1803" s="284"/>
      <c r="F1803" s="284"/>
      <c r="G1803" s="285"/>
      <c r="H1803" s="285"/>
      <c r="I1803" s="285"/>
      <c r="J1803" s="286"/>
      <c r="K1803" s="285"/>
      <c r="L1803" s="285"/>
      <c r="M1803" s="285"/>
      <c r="N1803" s="283"/>
      <c r="O1803" s="287"/>
      <c r="P1803" s="288"/>
      <c r="Q1803" s="289"/>
      <c r="R1803" s="290"/>
      <c r="S1803" s="291"/>
      <c r="T1803" s="291"/>
      <c r="U1803" s="292"/>
      <c r="V1803" s="259"/>
      <c r="W1803" s="259"/>
    </row>
    <row r="1804" spans="1:23" s="247" customFormat="1" x14ac:dyDescent="0.25">
      <c r="A1804" s="228"/>
      <c r="B1804" s="283"/>
      <c r="C1804" s="284"/>
      <c r="D1804" s="283"/>
      <c r="E1804" s="284"/>
      <c r="F1804" s="284"/>
      <c r="G1804" s="285"/>
      <c r="H1804" s="285"/>
      <c r="I1804" s="285"/>
      <c r="J1804" s="286"/>
      <c r="K1804" s="285"/>
      <c r="L1804" s="285"/>
      <c r="M1804" s="285"/>
      <c r="N1804" s="283"/>
      <c r="O1804" s="287"/>
      <c r="P1804" s="288"/>
      <c r="Q1804" s="289"/>
      <c r="R1804" s="290"/>
      <c r="S1804" s="291"/>
      <c r="T1804" s="263"/>
      <c r="U1804" s="292"/>
      <c r="V1804" s="259"/>
      <c r="W1804" s="284"/>
    </row>
    <row r="1805" spans="1:23" s="247" customFormat="1" x14ac:dyDescent="0.25">
      <c r="A1805" s="228"/>
      <c r="B1805" s="283"/>
      <c r="C1805" s="284"/>
      <c r="D1805" s="283"/>
      <c r="E1805" s="284"/>
      <c r="F1805" s="284"/>
      <c r="G1805" s="285"/>
      <c r="H1805" s="285"/>
      <c r="I1805" s="285"/>
      <c r="J1805" s="286"/>
      <c r="K1805" s="285"/>
      <c r="L1805" s="285"/>
      <c r="M1805" s="285"/>
      <c r="N1805" s="283"/>
      <c r="O1805" s="287"/>
      <c r="P1805" s="288"/>
      <c r="Q1805" s="289"/>
      <c r="R1805" s="290"/>
      <c r="S1805" s="291"/>
      <c r="T1805" s="291"/>
      <c r="U1805" s="292"/>
      <c r="V1805" s="259"/>
      <c r="W1805" s="259"/>
    </row>
    <row r="1806" spans="1:23" s="247" customFormat="1" x14ac:dyDescent="0.25">
      <c r="A1806" s="228"/>
      <c r="B1806" s="283"/>
      <c r="C1806" s="284"/>
      <c r="D1806" s="283"/>
      <c r="E1806" s="284"/>
      <c r="F1806" s="284"/>
      <c r="G1806" s="285"/>
      <c r="H1806" s="285"/>
      <c r="I1806" s="285"/>
      <c r="J1806" s="286"/>
      <c r="K1806" s="285"/>
      <c r="L1806" s="285"/>
      <c r="M1806" s="285"/>
      <c r="N1806" s="283"/>
      <c r="O1806" s="287"/>
      <c r="P1806" s="288"/>
      <c r="Q1806" s="289"/>
      <c r="R1806" s="290"/>
      <c r="S1806" s="291"/>
      <c r="T1806" s="291"/>
      <c r="U1806" s="292"/>
      <c r="V1806" s="259"/>
      <c r="W1806" s="259"/>
    </row>
    <row r="1807" spans="1:23" s="247" customFormat="1" x14ac:dyDescent="0.25">
      <c r="A1807" s="228"/>
      <c r="B1807" s="283"/>
      <c r="C1807" s="284"/>
      <c r="D1807" s="283"/>
      <c r="E1807" s="284"/>
      <c r="F1807" s="284"/>
      <c r="G1807" s="285"/>
      <c r="H1807" s="285"/>
      <c r="I1807" s="285"/>
      <c r="J1807" s="286"/>
      <c r="K1807" s="285"/>
      <c r="L1807" s="285"/>
      <c r="M1807" s="285"/>
      <c r="N1807" s="283"/>
      <c r="O1807" s="287"/>
      <c r="P1807" s="288"/>
      <c r="Q1807" s="289"/>
      <c r="R1807" s="290"/>
      <c r="S1807" s="291"/>
      <c r="T1807" s="291"/>
      <c r="U1807" s="292"/>
      <c r="V1807" s="259"/>
      <c r="W1807" s="259"/>
    </row>
    <row r="1808" spans="1:23" s="247" customFormat="1" x14ac:dyDescent="0.25">
      <c r="A1808" s="228"/>
      <c r="B1808" s="283"/>
      <c r="C1808" s="284"/>
      <c r="D1808" s="283"/>
      <c r="E1808" s="284"/>
      <c r="F1808" s="284"/>
      <c r="G1808" s="285"/>
      <c r="H1808" s="285"/>
      <c r="I1808" s="285"/>
      <c r="J1808" s="286"/>
      <c r="K1808" s="285"/>
      <c r="L1808" s="285"/>
      <c r="M1808" s="285"/>
      <c r="N1808" s="283"/>
      <c r="O1808" s="287"/>
      <c r="P1808" s="288"/>
      <c r="Q1808" s="289"/>
      <c r="R1808" s="290"/>
      <c r="S1808" s="291"/>
      <c r="T1808" s="291"/>
      <c r="U1808" s="292"/>
      <c r="V1808" s="259"/>
      <c r="W1808" s="259"/>
    </row>
    <row r="1809" spans="1:23" s="247" customFormat="1" x14ac:dyDescent="0.25">
      <c r="A1809" s="228"/>
      <c r="B1809" s="283"/>
      <c r="C1809" s="284"/>
      <c r="D1809" s="283"/>
      <c r="E1809" s="284"/>
      <c r="F1809" s="284"/>
      <c r="G1809" s="285"/>
      <c r="H1809" s="285"/>
      <c r="I1809" s="285"/>
      <c r="J1809" s="286"/>
      <c r="K1809" s="285"/>
      <c r="L1809" s="285"/>
      <c r="M1809" s="285"/>
      <c r="N1809" s="283"/>
      <c r="O1809" s="287"/>
      <c r="P1809" s="288"/>
      <c r="Q1809" s="289"/>
      <c r="R1809" s="290"/>
      <c r="S1809" s="291"/>
      <c r="T1809" s="291"/>
      <c r="U1809" s="292"/>
      <c r="V1809" s="259"/>
      <c r="W1809" s="259"/>
    </row>
    <row r="1810" spans="1:23" s="247" customFormat="1" x14ac:dyDescent="0.25">
      <c r="A1810" s="228"/>
      <c r="B1810" s="283"/>
      <c r="C1810" s="284"/>
      <c r="D1810" s="283"/>
      <c r="E1810" s="284"/>
      <c r="F1810" s="284"/>
      <c r="G1810" s="285"/>
      <c r="H1810" s="285"/>
      <c r="I1810" s="285"/>
      <c r="J1810" s="286"/>
      <c r="K1810" s="285"/>
      <c r="L1810" s="285"/>
      <c r="M1810" s="285"/>
      <c r="N1810" s="283"/>
      <c r="O1810" s="287"/>
      <c r="P1810" s="288"/>
      <c r="Q1810" s="289"/>
      <c r="R1810" s="290"/>
      <c r="S1810" s="291"/>
      <c r="T1810" s="291"/>
      <c r="U1810" s="292"/>
      <c r="V1810" s="259"/>
      <c r="W1810" s="259"/>
    </row>
    <row r="1811" spans="1:23" s="247" customFormat="1" x14ac:dyDescent="0.25">
      <c r="A1811" s="228"/>
      <c r="B1811" s="283"/>
      <c r="C1811" s="284"/>
      <c r="D1811" s="283"/>
      <c r="E1811" s="284"/>
      <c r="F1811" s="284"/>
      <c r="G1811" s="285"/>
      <c r="H1811" s="285"/>
      <c r="I1811" s="285"/>
      <c r="J1811" s="286"/>
      <c r="K1811" s="285"/>
      <c r="L1811" s="285"/>
      <c r="M1811" s="285"/>
      <c r="N1811" s="283"/>
      <c r="O1811" s="287"/>
      <c r="P1811" s="288"/>
      <c r="Q1811" s="289"/>
      <c r="R1811" s="290"/>
      <c r="S1811" s="291"/>
      <c r="T1811" s="291"/>
      <c r="U1811" s="292"/>
      <c r="V1811" s="259"/>
      <c r="W1811" s="259"/>
    </row>
    <row r="1812" spans="1:23" s="247" customFormat="1" x14ac:dyDescent="0.25">
      <c r="A1812" s="228"/>
      <c r="B1812" s="283"/>
      <c r="C1812" s="284"/>
      <c r="D1812" s="283"/>
      <c r="E1812" s="284"/>
      <c r="F1812" s="284"/>
      <c r="G1812" s="285"/>
      <c r="H1812" s="285"/>
      <c r="I1812" s="285"/>
      <c r="J1812" s="286"/>
      <c r="K1812" s="285"/>
      <c r="L1812" s="285"/>
      <c r="M1812" s="285"/>
      <c r="N1812" s="283"/>
      <c r="O1812" s="287"/>
      <c r="P1812" s="288"/>
      <c r="Q1812" s="289"/>
      <c r="R1812" s="290"/>
      <c r="S1812" s="291"/>
      <c r="T1812" s="291"/>
      <c r="U1812" s="292"/>
      <c r="V1812" s="259"/>
      <c r="W1812" s="259"/>
    </row>
    <row r="1813" spans="1:23" s="247" customFormat="1" x14ac:dyDescent="0.25">
      <c r="A1813" s="228"/>
      <c r="B1813" s="283"/>
      <c r="C1813" s="284"/>
      <c r="D1813" s="283"/>
      <c r="E1813" s="284"/>
      <c r="F1813" s="284"/>
      <c r="G1813" s="285"/>
      <c r="H1813" s="285"/>
      <c r="I1813" s="285"/>
      <c r="J1813" s="286"/>
      <c r="K1813" s="285"/>
      <c r="L1813" s="285"/>
      <c r="M1813" s="285"/>
      <c r="N1813" s="283"/>
      <c r="O1813" s="287"/>
      <c r="P1813" s="288"/>
      <c r="Q1813" s="289"/>
      <c r="R1813" s="290"/>
      <c r="S1813" s="291"/>
      <c r="T1813" s="291"/>
      <c r="U1813" s="292"/>
      <c r="V1813" s="259"/>
      <c r="W1813" s="259"/>
    </row>
    <row r="1814" spans="1:23" s="247" customFormat="1" x14ac:dyDescent="0.25">
      <c r="A1814" s="228"/>
      <c r="B1814" s="283"/>
      <c r="C1814" s="284"/>
      <c r="D1814" s="283"/>
      <c r="E1814" s="284"/>
      <c r="F1814" s="284"/>
      <c r="G1814" s="285"/>
      <c r="H1814" s="285"/>
      <c r="I1814" s="285"/>
      <c r="J1814" s="286"/>
      <c r="K1814" s="285"/>
      <c r="L1814" s="285"/>
      <c r="M1814" s="285"/>
      <c r="N1814" s="283"/>
      <c r="O1814" s="287"/>
      <c r="P1814" s="288"/>
      <c r="Q1814" s="289"/>
      <c r="R1814" s="290"/>
      <c r="S1814" s="291"/>
      <c r="T1814" s="291"/>
      <c r="U1814" s="292"/>
      <c r="V1814" s="259"/>
      <c r="W1814" s="259"/>
    </row>
    <row r="1815" spans="1:23" s="247" customFormat="1" x14ac:dyDescent="0.25">
      <c r="A1815" s="228"/>
      <c r="B1815" s="283"/>
      <c r="C1815" s="284"/>
      <c r="D1815" s="283"/>
      <c r="E1815" s="284"/>
      <c r="F1815" s="284"/>
      <c r="G1815" s="285"/>
      <c r="H1815" s="285"/>
      <c r="I1815" s="285"/>
      <c r="J1815" s="286"/>
      <c r="K1815" s="285"/>
      <c r="L1815" s="285"/>
      <c r="M1815" s="285"/>
      <c r="N1815" s="283"/>
      <c r="O1815" s="287"/>
      <c r="P1815" s="288"/>
      <c r="Q1815" s="289"/>
      <c r="R1815" s="290"/>
      <c r="S1815" s="291"/>
      <c r="T1815" s="291"/>
      <c r="U1815" s="292"/>
      <c r="V1815" s="259"/>
      <c r="W1815" s="259"/>
    </row>
    <row r="1816" spans="1:23" s="247" customFormat="1" x14ac:dyDescent="0.25">
      <c r="A1816" s="228"/>
      <c r="B1816" s="283"/>
      <c r="C1816" s="284"/>
      <c r="D1816" s="283"/>
      <c r="E1816" s="284"/>
      <c r="F1816" s="284"/>
      <c r="G1816" s="285"/>
      <c r="H1816" s="285"/>
      <c r="I1816" s="285"/>
      <c r="J1816" s="286"/>
      <c r="K1816" s="285"/>
      <c r="L1816" s="285"/>
      <c r="M1816" s="285"/>
      <c r="N1816" s="283"/>
      <c r="O1816" s="287"/>
      <c r="P1816" s="288"/>
      <c r="Q1816" s="289"/>
      <c r="R1816" s="290"/>
      <c r="S1816" s="291"/>
      <c r="T1816" s="291"/>
      <c r="U1816" s="292"/>
      <c r="V1816" s="259"/>
      <c r="W1816" s="259"/>
    </row>
    <row r="1817" spans="1:23" s="247" customFormat="1" x14ac:dyDescent="0.25">
      <c r="A1817" s="228"/>
      <c r="B1817" s="283"/>
      <c r="C1817" s="284"/>
      <c r="D1817" s="283"/>
      <c r="E1817" s="284"/>
      <c r="F1817" s="284"/>
      <c r="G1817" s="285"/>
      <c r="H1817" s="285"/>
      <c r="I1817" s="285"/>
      <c r="J1817" s="286"/>
      <c r="K1817" s="285"/>
      <c r="L1817" s="285"/>
      <c r="M1817" s="285"/>
      <c r="N1817" s="283"/>
      <c r="O1817" s="287"/>
      <c r="P1817" s="288"/>
      <c r="Q1817" s="289"/>
      <c r="R1817" s="290"/>
      <c r="S1817" s="291"/>
      <c r="T1817" s="291"/>
      <c r="U1817" s="292"/>
      <c r="V1817" s="259"/>
      <c r="W1817" s="259"/>
    </row>
    <row r="1818" spans="1:23" s="247" customFormat="1" x14ac:dyDescent="0.25">
      <c r="A1818" s="228"/>
      <c r="B1818" s="283"/>
      <c r="C1818" s="284"/>
      <c r="D1818" s="283"/>
      <c r="E1818" s="284"/>
      <c r="F1818" s="284"/>
      <c r="G1818" s="285"/>
      <c r="H1818" s="285"/>
      <c r="I1818" s="285"/>
      <c r="J1818" s="286"/>
      <c r="K1818" s="285"/>
      <c r="L1818" s="285"/>
      <c r="M1818" s="285"/>
      <c r="N1818" s="283"/>
      <c r="O1818" s="287"/>
      <c r="P1818" s="288"/>
      <c r="Q1818" s="289"/>
      <c r="R1818" s="290"/>
      <c r="S1818" s="291"/>
      <c r="T1818" s="291"/>
      <c r="U1818" s="292"/>
      <c r="V1818" s="259"/>
      <c r="W1818" s="259"/>
    </row>
    <row r="1819" spans="1:23" s="247" customFormat="1" x14ac:dyDescent="0.25">
      <c r="A1819" s="228"/>
      <c r="B1819" s="283"/>
      <c r="C1819" s="284"/>
      <c r="D1819" s="283"/>
      <c r="E1819" s="284"/>
      <c r="F1819" s="284"/>
      <c r="G1819" s="285"/>
      <c r="H1819" s="285"/>
      <c r="I1819" s="285"/>
      <c r="J1819" s="286"/>
      <c r="K1819" s="285"/>
      <c r="L1819" s="285"/>
      <c r="M1819" s="285"/>
      <c r="N1819" s="283"/>
      <c r="O1819" s="287"/>
      <c r="P1819" s="288"/>
      <c r="Q1819" s="289"/>
      <c r="R1819" s="290"/>
      <c r="S1819" s="291"/>
      <c r="T1819" s="291"/>
      <c r="U1819" s="292"/>
      <c r="V1819" s="259"/>
      <c r="W1819" s="259"/>
    </row>
    <row r="1820" spans="1:23" s="247" customFormat="1" x14ac:dyDescent="0.25">
      <c r="A1820" s="228"/>
      <c r="B1820" s="283"/>
      <c r="C1820" s="284"/>
      <c r="D1820" s="283"/>
      <c r="E1820" s="284"/>
      <c r="F1820" s="284"/>
      <c r="G1820" s="285"/>
      <c r="H1820" s="285"/>
      <c r="I1820" s="285"/>
      <c r="J1820" s="286"/>
      <c r="K1820" s="285"/>
      <c r="L1820" s="285"/>
      <c r="M1820" s="285"/>
      <c r="N1820" s="283"/>
      <c r="O1820" s="287"/>
      <c r="P1820" s="288"/>
      <c r="Q1820" s="289"/>
      <c r="R1820" s="290"/>
      <c r="S1820" s="291"/>
      <c r="T1820" s="291"/>
      <c r="U1820" s="292"/>
      <c r="V1820" s="259"/>
      <c r="W1820" s="259"/>
    </row>
    <row r="1821" spans="1:23" s="247" customFormat="1" x14ac:dyDescent="0.25">
      <c r="A1821" s="228"/>
      <c r="B1821" s="283"/>
      <c r="C1821" s="284"/>
      <c r="D1821" s="283"/>
      <c r="E1821" s="284"/>
      <c r="F1821" s="284"/>
      <c r="G1821" s="285"/>
      <c r="H1821" s="285"/>
      <c r="I1821" s="285"/>
      <c r="J1821" s="286"/>
      <c r="K1821" s="285"/>
      <c r="L1821" s="285"/>
      <c r="M1821" s="285"/>
      <c r="N1821" s="283"/>
      <c r="O1821" s="287"/>
      <c r="P1821" s="288"/>
      <c r="Q1821" s="289"/>
      <c r="R1821" s="290"/>
      <c r="S1821" s="291"/>
      <c r="T1821" s="291"/>
      <c r="U1821" s="292"/>
      <c r="V1821" s="259"/>
      <c r="W1821" s="259"/>
    </row>
    <row r="1822" spans="1:23" s="247" customFormat="1" x14ac:dyDescent="0.25">
      <c r="A1822" s="228"/>
      <c r="B1822" s="283"/>
      <c r="C1822" s="284"/>
      <c r="D1822" s="283"/>
      <c r="E1822" s="284"/>
      <c r="F1822" s="284"/>
      <c r="G1822" s="285"/>
      <c r="H1822" s="285"/>
      <c r="I1822" s="285"/>
      <c r="J1822" s="286"/>
      <c r="K1822" s="285"/>
      <c r="L1822" s="285"/>
      <c r="M1822" s="285"/>
      <c r="N1822" s="283"/>
      <c r="O1822" s="287"/>
      <c r="P1822" s="288"/>
      <c r="Q1822" s="289"/>
      <c r="R1822" s="290"/>
      <c r="S1822" s="291"/>
      <c r="T1822" s="291"/>
      <c r="U1822" s="292"/>
      <c r="V1822" s="259"/>
      <c r="W1822" s="259"/>
    </row>
    <row r="1823" spans="1:23" s="247" customFormat="1" x14ac:dyDescent="0.25">
      <c r="A1823" s="228"/>
      <c r="B1823" s="283"/>
      <c r="C1823" s="284"/>
      <c r="D1823" s="283"/>
      <c r="E1823" s="284"/>
      <c r="F1823" s="284"/>
      <c r="G1823" s="285"/>
      <c r="H1823" s="285"/>
      <c r="I1823" s="285"/>
      <c r="J1823" s="286"/>
      <c r="K1823" s="285"/>
      <c r="L1823" s="285"/>
      <c r="M1823" s="285"/>
      <c r="N1823" s="283"/>
      <c r="O1823" s="287"/>
      <c r="P1823" s="288"/>
      <c r="Q1823" s="289"/>
      <c r="R1823" s="290"/>
      <c r="S1823" s="291"/>
      <c r="T1823" s="291"/>
      <c r="U1823" s="292"/>
      <c r="V1823" s="259"/>
      <c r="W1823" s="259"/>
    </row>
    <row r="1824" spans="1:23" s="247" customFormat="1" x14ac:dyDescent="0.25">
      <c r="A1824" s="228"/>
      <c r="B1824" s="283"/>
      <c r="C1824" s="284"/>
      <c r="D1824" s="283"/>
      <c r="E1824" s="284"/>
      <c r="F1824" s="284"/>
      <c r="G1824" s="285"/>
      <c r="H1824" s="285"/>
      <c r="I1824" s="285"/>
      <c r="J1824" s="286"/>
      <c r="K1824" s="285"/>
      <c r="L1824" s="285"/>
      <c r="M1824" s="285"/>
      <c r="N1824" s="283"/>
      <c r="O1824" s="287"/>
      <c r="P1824" s="288"/>
      <c r="Q1824" s="289"/>
      <c r="R1824" s="290"/>
      <c r="S1824" s="291"/>
      <c r="T1824" s="291"/>
      <c r="U1824" s="292"/>
      <c r="V1824" s="259"/>
      <c r="W1824" s="259"/>
    </row>
    <row r="1825" spans="1:23" s="247" customFormat="1" x14ac:dyDescent="0.25">
      <c r="A1825" s="228"/>
      <c r="B1825" s="283"/>
      <c r="C1825" s="284"/>
      <c r="D1825" s="283"/>
      <c r="E1825" s="284"/>
      <c r="F1825" s="284"/>
      <c r="G1825" s="285"/>
      <c r="H1825" s="285"/>
      <c r="I1825" s="285"/>
      <c r="J1825" s="286"/>
      <c r="K1825" s="285"/>
      <c r="L1825" s="285"/>
      <c r="M1825" s="285"/>
      <c r="N1825" s="283"/>
      <c r="O1825" s="287"/>
      <c r="P1825" s="288"/>
      <c r="Q1825" s="289"/>
      <c r="R1825" s="290"/>
      <c r="S1825" s="291"/>
      <c r="T1825" s="291"/>
      <c r="U1825" s="292"/>
      <c r="V1825" s="259"/>
      <c r="W1825" s="259"/>
    </row>
    <row r="1826" spans="1:23" s="247" customFormat="1" x14ac:dyDescent="0.25">
      <c r="A1826" s="228"/>
      <c r="B1826" s="283"/>
      <c r="C1826" s="284"/>
      <c r="D1826" s="283"/>
      <c r="E1826" s="284"/>
      <c r="F1826" s="284"/>
      <c r="G1826" s="285"/>
      <c r="H1826" s="285"/>
      <c r="I1826" s="285"/>
      <c r="J1826" s="286"/>
      <c r="K1826" s="285"/>
      <c r="L1826" s="285"/>
      <c r="M1826" s="285"/>
      <c r="N1826" s="283"/>
      <c r="O1826" s="287"/>
      <c r="P1826" s="288"/>
      <c r="Q1826" s="289"/>
      <c r="R1826" s="290"/>
      <c r="S1826" s="291"/>
      <c r="T1826" s="291"/>
      <c r="U1826" s="292"/>
      <c r="V1826" s="259"/>
      <c r="W1826" s="259"/>
    </row>
    <row r="1827" spans="1:23" s="247" customFormat="1" x14ac:dyDescent="0.25">
      <c r="A1827" s="228"/>
      <c r="B1827" s="283"/>
      <c r="C1827" s="284"/>
      <c r="D1827" s="283"/>
      <c r="E1827" s="284"/>
      <c r="F1827" s="284"/>
      <c r="G1827" s="285"/>
      <c r="H1827" s="285"/>
      <c r="I1827" s="285"/>
      <c r="J1827" s="286"/>
      <c r="K1827" s="285"/>
      <c r="L1827" s="285"/>
      <c r="M1827" s="285"/>
      <c r="N1827" s="283"/>
      <c r="O1827" s="287"/>
      <c r="P1827" s="288"/>
      <c r="Q1827" s="289"/>
      <c r="R1827" s="290"/>
      <c r="S1827" s="291"/>
      <c r="T1827" s="291"/>
      <c r="U1827" s="292"/>
      <c r="V1827" s="259"/>
      <c r="W1827" s="259"/>
    </row>
    <row r="1828" spans="1:23" s="247" customFormat="1" x14ac:dyDescent="0.25">
      <c r="A1828" s="228"/>
      <c r="B1828" s="283"/>
      <c r="C1828" s="284"/>
      <c r="D1828" s="283"/>
      <c r="E1828" s="284"/>
      <c r="F1828" s="284"/>
      <c r="G1828" s="285"/>
      <c r="H1828" s="285"/>
      <c r="I1828" s="285"/>
      <c r="J1828" s="286"/>
      <c r="K1828" s="285"/>
      <c r="L1828" s="285"/>
      <c r="M1828" s="285"/>
      <c r="N1828" s="283"/>
      <c r="O1828" s="287"/>
      <c r="P1828" s="288"/>
      <c r="Q1828" s="289"/>
      <c r="R1828" s="290"/>
      <c r="S1828" s="291"/>
      <c r="T1828" s="291"/>
      <c r="U1828" s="292"/>
      <c r="V1828" s="259"/>
      <c r="W1828" s="259"/>
    </row>
    <row r="1829" spans="1:23" s="247" customFormat="1" x14ac:dyDescent="0.25">
      <c r="A1829" s="228"/>
      <c r="B1829" s="283"/>
      <c r="C1829" s="284"/>
      <c r="D1829" s="283"/>
      <c r="E1829" s="284"/>
      <c r="F1829" s="284"/>
      <c r="G1829" s="285"/>
      <c r="H1829" s="285"/>
      <c r="I1829" s="285"/>
      <c r="J1829" s="286"/>
      <c r="K1829" s="285"/>
      <c r="L1829" s="285"/>
      <c r="M1829" s="285"/>
      <c r="N1829" s="283"/>
      <c r="O1829" s="287"/>
      <c r="P1829" s="288"/>
      <c r="Q1829" s="289"/>
      <c r="R1829" s="290"/>
      <c r="S1829" s="291"/>
      <c r="T1829" s="291"/>
      <c r="U1829" s="292"/>
      <c r="V1829" s="259"/>
      <c r="W1829" s="259"/>
    </row>
    <row r="1830" spans="1:23" s="247" customFormat="1" x14ac:dyDescent="0.25">
      <c r="A1830" s="228"/>
      <c r="B1830" s="283"/>
      <c r="C1830" s="284"/>
      <c r="D1830" s="283"/>
      <c r="E1830" s="284"/>
      <c r="F1830" s="284"/>
      <c r="G1830" s="285"/>
      <c r="H1830" s="285"/>
      <c r="I1830" s="285"/>
      <c r="J1830" s="286"/>
      <c r="K1830" s="285"/>
      <c r="L1830" s="285"/>
      <c r="M1830" s="285"/>
      <c r="N1830" s="283"/>
      <c r="O1830" s="287"/>
      <c r="P1830" s="288"/>
      <c r="Q1830" s="289"/>
      <c r="R1830" s="290"/>
      <c r="S1830" s="291"/>
      <c r="T1830" s="291"/>
      <c r="U1830" s="292"/>
      <c r="V1830" s="259"/>
      <c r="W1830" s="259"/>
    </row>
    <row r="1831" spans="1:23" s="247" customFormat="1" x14ac:dyDescent="0.25">
      <c r="A1831" s="228"/>
      <c r="B1831" s="283"/>
      <c r="C1831" s="284"/>
      <c r="D1831" s="283"/>
      <c r="E1831" s="284"/>
      <c r="F1831" s="284"/>
      <c r="G1831" s="285"/>
      <c r="H1831" s="285"/>
      <c r="I1831" s="285"/>
      <c r="J1831" s="286"/>
      <c r="K1831" s="285"/>
      <c r="L1831" s="285"/>
      <c r="M1831" s="285"/>
      <c r="N1831" s="283"/>
      <c r="O1831" s="287"/>
      <c r="P1831" s="288"/>
      <c r="Q1831" s="289"/>
      <c r="R1831" s="290"/>
      <c r="S1831" s="291"/>
      <c r="T1831" s="291"/>
      <c r="U1831" s="292"/>
      <c r="V1831" s="259"/>
      <c r="W1831" s="259"/>
    </row>
    <row r="1832" spans="1:23" s="247" customFormat="1" x14ac:dyDescent="0.25">
      <c r="A1832" s="228"/>
      <c r="B1832" s="283"/>
      <c r="C1832" s="284"/>
      <c r="D1832" s="283"/>
      <c r="E1832" s="284"/>
      <c r="F1832" s="284"/>
      <c r="G1832" s="285"/>
      <c r="H1832" s="285"/>
      <c r="I1832" s="285"/>
      <c r="J1832" s="286"/>
      <c r="K1832" s="285"/>
      <c r="L1832" s="285"/>
      <c r="M1832" s="285"/>
      <c r="N1832" s="283"/>
      <c r="O1832" s="287"/>
      <c r="P1832" s="288"/>
      <c r="Q1832" s="289"/>
      <c r="R1832" s="290"/>
      <c r="S1832" s="291"/>
      <c r="T1832" s="291"/>
      <c r="U1832" s="292"/>
      <c r="V1832" s="259"/>
      <c r="W1832" s="259"/>
    </row>
    <row r="1833" spans="1:23" s="247" customFormat="1" x14ac:dyDescent="0.25">
      <c r="A1833" s="228"/>
      <c r="B1833" s="283"/>
      <c r="C1833" s="284"/>
      <c r="D1833" s="283"/>
      <c r="E1833" s="284"/>
      <c r="F1833" s="284"/>
      <c r="G1833" s="285"/>
      <c r="H1833" s="285"/>
      <c r="I1833" s="285"/>
      <c r="J1833" s="286"/>
      <c r="K1833" s="285"/>
      <c r="L1833" s="285"/>
      <c r="M1833" s="285"/>
      <c r="N1833" s="283"/>
      <c r="O1833" s="287"/>
      <c r="P1833" s="288"/>
      <c r="Q1833" s="289"/>
      <c r="R1833" s="290"/>
      <c r="S1833" s="291"/>
      <c r="T1833" s="291"/>
      <c r="U1833" s="292"/>
      <c r="V1833" s="259"/>
      <c r="W1833" s="259"/>
    </row>
    <row r="1834" spans="1:23" s="247" customFormat="1" x14ac:dyDescent="0.25">
      <c r="A1834" s="228"/>
      <c r="B1834" s="283"/>
      <c r="C1834" s="284"/>
      <c r="D1834" s="283"/>
      <c r="E1834" s="284"/>
      <c r="F1834" s="284"/>
      <c r="G1834" s="285"/>
      <c r="H1834" s="285"/>
      <c r="I1834" s="285"/>
      <c r="J1834" s="286"/>
      <c r="K1834" s="285"/>
      <c r="L1834" s="285"/>
      <c r="M1834" s="285"/>
      <c r="N1834" s="283"/>
      <c r="O1834" s="287"/>
      <c r="P1834" s="288"/>
      <c r="Q1834" s="289"/>
      <c r="R1834" s="290"/>
      <c r="S1834" s="291"/>
      <c r="T1834" s="291"/>
      <c r="U1834" s="292"/>
      <c r="V1834" s="259"/>
      <c r="W1834" s="268"/>
    </row>
    <row r="1835" spans="1:23" s="247" customFormat="1" x14ac:dyDescent="0.25">
      <c r="A1835" s="228"/>
      <c r="B1835" s="283"/>
      <c r="C1835" s="284"/>
      <c r="D1835" s="283"/>
      <c r="E1835" s="284"/>
      <c r="F1835" s="284"/>
      <c r="G1835" s="285"/>
      <c r="H1835" s="285"/>
      <c r="I1835" s="285"/>
      <c r="J1835" s="286"/>
      <c r="K1835" s="285"/>
      <c r="L1835" s="285"/>
      <c r="M1835" s="285"/>
      <c r="N1835" s="283"/>
      <c r="O1835" s="287"/>
      <c r="P1835" s="288"/>
      <c r="Q1835" s="289"/>
      <c r="R1835" s="290"/>
      <c r="S1835" s="291"/>
      <c r="T1835" s="291"/>
      <c r="U1835" s="292"/>
      <c r="V1835" s="259"/>
      <c r="W1835" s="259"/>
    </row>
    <row r="1836" spans="1:23" s="247" customFormat="1" x14ac:dyDescent="0.25">
      <c r="A1836" s="228"/>
      <c r="B1836" s="283"/>
      <c r="C1836" s="284"/>
      <c r="D1836" s="283"/>
      <c r="E1836" s="284"/>
      <c r="F1836" s="284"/>
      <c r="G1836" s="285"/>
      <c r="H1836" s="285"/>
      <c r="I1836" s="285"/>
      <c r="J1836" s="286"/>
      <c r="K1836" s="285"/>
      <c r="L1836" s="285"/>
      <c r="M1836" s="285"/>
      <c r="N1836" s="283"/>
      <c r="O1836" s="287"/>
      <c r="P1836" s="288"/>
      <c r="Q1836" s="289"/>
      <c r="R1836" s="290"/>
      <c r="S1836" s="291"/>
      <c r="T1836" s="291"/>
      <c r="U1836" s="292"/>
      <c r="V1836" s="259"/>
      <c r="W1836" s="259"/>
    </row>
    <row r="1837" spans="1:23" s="247" customFormat="1" x14ac:dyDescent="0.25">
      <c r="A1837" s="228"/>
      <c r="B1837" s="283"/>
      <c r="C1837" s="284"/>
      <c r="D1837" s="283"/>
      <c r="E1837" s="284"/>
      <c r="F1837" s="284"/>
      <c r="G1837" s="285"/>
      <c r="H1837" s="285"/>
      <c r="I1837" s="285"/>
      <c r="J1837" s="286"/>
      <c r="K1837" s="285"/>
      <c r="L1837" s="285"/>
      <c r="M1837" s="285"/>
      <c r="N1837" s="283"/>
      <c r="O1837" s="287"/>
      <c r="P1837" s="288"/>
      <c r="Q1837" s="289"/>
      <c r="R1837" s="290"/>
      <c r="S1837" s="291"/>
      <c r="T1837" s="291"/>
      <c r="U1837" s="292"/>
      <c r="V1837" s="259"/>
      <c r="W1837" s="259"/>
    </row>
    <row r="1838" spans="1:23" s="247" customFormat="1" x14ac:dyDescent="0.25">
      <c r="A1838" s="228"/>
      <c r="B1838" s="283"/>
      <c r="C1838" s="284"/>
      <c r="D1838" s="283"/>
      <c r="E1838" s="284"/>
      <c r="F1838" s="284"/>
      <c r="G1838" s="285"/>
      <c r="H1838" s="285"/>
      <c r="I1838" s="285"/>
      <c r="J1838" s="286"/>
      <c r="K1838" s="285"/>
      <c r="L1838" s="285"/>
      <c r="M1838" s="285"/>
      <c r="N1838" s="283"/>
      <c r="O1838" s="287"/>
      <c r="P1838" s="288"/>
      <c r="Q1838" s="289"/>
      <c r="R1838" s="290"/>
      <c r="S1838" s="291"/>
      <c r="T1838" s="291"/>
      <c r="U1838" s="292"/>
      <c r="V1838" s="259"/>
      <c r="W1838" s="259"/>
    </row>
    <row r="1839" spans="1:23" s="247" customFormat="1" x14ac:dyDescent="0.25">
      <c r="A1839" s="228"/>
      <c r="B1839" s="283"/>
      <c r="C1839" s="284"/>
      <c r="D1839" s="283"/>
      <c r="E1839" s="284"/>
      <c r="F1839" s="284"/>
      <c r="G1839" s="285"/>
      <c r="H1839" s="285"/>
      <c r="I1839" s="285"/>
      <c r="J1839" s="286"/>
      <c r="K1839" s="285"/>
      <c r="L1839" s="285"/>
      <c r="M1839" s="285"/>
      <c r="N1839" s="283"/>
      <c r="O1839" s="287"/>
      <c r="P1839" s="288"/>
      <c r="Q1839" s="289"/>
      <c r="R1839" s="290"/>
      <c r="S1839" s="291"/>
      <c r="T1839" s="291"/>
      <c r="U1839" s="292"/>
      <c r="V1839" s="259"/>
      <c r="W1839" s="259"/>
    </row>
    <row r="1840" spans="1:23" s="247" customFormat="1" x14ac:dyDescent="0.25">
      <c r="A1840" s="228"/>
      <c r="B1840" s="273"/>
      <c r="C1840" s="284"/>
      <c r="D1840" s="273"/>
      <c r="E1840" s="259"/>
      <c r="F1840" s="259"/>
      <c r="G1840" s="274"/>
      <c r="H1840" s="274"/>
      <c r="I1840" s="274"/>
      <c r="J1840" s="275"/>
      <c r="K1840" s="274"/>
      <c r="L1840" s="274"/>
      <c r="M1840" s="274"/>
      <c r="N1840" s="273"/>
      <c r="O1840" s="277"/>
      <c r="P1840" s="288"/>
      <c r="Q1840" s="289"/>
      <c r="R1840" s="290"/>
      <c r="S1840" s="291"/>
      <c r="T1840" s="263"/>
      <c r="U1840" s="264"/>
      <c r="V1840" s="259"/>
      <c r="W1840" s="259"/>
    </row>
    <row r="1841" spans="1:23" s="247" customFormat="1" x14ac:dyDescent="0.25">
      <c r="A1841" s="228"/>
      <c r="B1841" s="283"/>
      <c r="C1841" s="284"/>
      <c r="D1841" s="283"/>
      <c r="E1841" s="284"/>
      <c r="F1841" s="284"/>
      <c r="G1841" s="285"/>
      <c r="H1841" s="285"/>
      <c r="I1841" s="285"/>
      <c r="J1841" s="286"/>
      <c r="K1841" s="285"/>
      <c r="L1841" s="285"/>
      <c r="M1841" s="285"/>
      <c r="N1841" s="283"/>
      <c r="O1841" s="287"/>
      <c r="P1841" s="288"/>
      <c r="Q1841" s="289"/>
      <c r="R1841" s="290"/>
      <c r="S1841" s="291"/>
      <c r="T1841" s="291"/>
      <c r="U1841" s="292"/>
      <c r="V1841" s="259"/>
      <c r="W1841" s="259"/>
    </row>
    <row r="1842" spans="1:23" s="247" customFormat="1" x14ac:dyDescent="0.25">
      <c r="A1842" s="228"/>
      <c r="B1842" s="283"/>
      <c r="C1842" s="284"/>
      <c r="D1842" s="283"/>
      <c r="E1842" s="284"/>
      <c r="F1842" s="284"/>
      <c r="G1842" s="285"/>
      <c r="H1842" s="285"/>
      <c r="I1842" s="285"/>
      <c r="J1842" s="286"/>
      <c r="K1842" s="285"/>
      <c r="L1842" s="285"/>
      <c r="M1842" s="285"/>
      <c r="N1842" s="283"/>
      <c r="O1842" s="287"/>
      <c r="P1842" s="288"/>
      <c r="Q1842" s="289"/>
      <c r="R1842" s="290"/>
      <c r="S1842" s="291"/>
      <c r="T1842" s="291"/>
      <c r="U1842" s="292"/>
      <c r="V1842" s="259"/>
      <c r="W1842" s="259"/>
    </row>
    <row r="1843" spans="1:23" s="247" customFormat="1" x14ac:dyDescent="0.25">
      <c r="A1843" s="228"/>
      <c r="B1843" s="283"/>
      <c r="C1843" s="284"/>
      <c r="D1843" s="283"/>
      <c r="E1843" s="284"/>
      <c r="F1843" s="284"/>
      <c r="G1843" s="285"/>
      <c r="H1843" s="285"/>
      <c r="I1843" s="285"/>
      <c r="J1843" s="286"/>
      <c r="K1843" s="285"/>
      <c r="L1843" s="285"/>
      <c r="M1843" s="285"/>
      <c r="N1843" s="283"/>
      <c r="O1843" s="287"/>
      <c r="P1843" s="288"/>
      <c r="Q1843" s="289"/>
      <c r="R1843" s="290"/>
      <c r="S1843" s="291"/>
      <c r="T1843" s="291"/>
      <c r="U1843" s="292"/>
      <c r="V1843" s="259"/>
      <c r="W1843" s="259"/>
    </row>
    <row r="1844" spans="1:23" s="247" customFormat="1" x14ac:dyDescent="0.25">
      <c r="A1844" s="228"/>
      <c r="B1844" s="283"/>
      <c r="C1844" s="284"/>
      <c r="D1844" s="283"/>
      <c r="E1844" s="284"/>
      <c r="F1844" s="284"/>
      <c r="G1844" s="285"/>
      <c r="H1844" s="285"/>
      <c r="I1844" s="285"/>
      <c r="J1844" s="286"/>
      <c r="K1844" s="285"/>
      <c r="L1844" s="285"/>
      <c r="M1844" s="285"/>
      <c r="N1844" s="283"/>
      <c r="O1844" s="287"/>
      <c r="P1844" s="288"/>
      <c r="Q1844" s="289"/>
      <c r="R1844" s="290"/>
      <c r="S1844" s="291"/>
      <c r="T1844" s="291"/>
      <c r="U1844" s="292"/>
      <c r="V1844" s="259"/>
      <c r="W1844" s="259"/>
    </row>
    <row r="1845" spans="1:23" s="247" customFormat="1" x14ac:dyDescent="0.25">
      <c r="A1845" s="228"/>
      <c r="B1845" s="283"/>
      <c r="C1845" s="284"/>
      <c r="D1845" s="283"/>
      <c r="E1845" s="284"/>
      <c r="F1845" s="284"/>
      <c r="G1845" s="285"/>
      <c r="H1845" s="285"/>
      <c r="I1845" s="285"/>
      <c r="J1845" s="286"/>
      <c r="K1845" s="285"/>
      <c r="L1845" s="285"/>
      <c r="M1845" s="285"/>
      <c r="N1845" s="283"/>
      <c r="O1845" s="287"/>
      <c r="P1845" s="288"/>
      <c r="Q1845" s="289"/>
      <c r="R1845" s="290"/>
      <c r="S1845" s="291"/>
      <c r="T1845" s="291"/>
      <c r="U1845" s="292"/>
      <c r="V1845" s="259"/>
      <c r="W1845" s="259"/>
    </row>
    <row r="1846" spans="1:23" s="247" customFormat="1" x14ac:dyDescent="0.25">
      <c r="A1846" s="228"/>
      <c r="B1846" s="283"/>
      <c r="C1846" s="284"/>
      <c r="D1846" s="283"/>
      <c r="E1846" s="284"/>
      <c r="F1846" s="284"/>
      <c r="G1846" s="285"/>
      <c r="H1846" s="285"/>
      <c r="I1846" s="285"/>
      <c r="J1846" s="286"/>
      <c r="K1846" s="285"/>
      <c r="L1846" s="285"/>
      <c r="M1846" s="285"/>
      <c r="N1846" s="283"/>
      <c r="O1846" s="287"/>
      <c r="P1846" s="288"/>
      <c r="Q1846" s="289"/>
      <c r="R1846" s="290"/>
      <c r="S1846" s="291"/>
      <c r="T1846" s="291"/>
      <c r="U1846" s="292"/>
      <c r="V1846" s="259"/>
      <c r="W1846" s="259"/>
    </row>
    <row r="1847" spans="1:23" s="247" customFormat="1" x14ac:dyDescent="0.25">
      <c r="A1847" s="228"/>
      <c r="B1847" s="283"/>
      <c r="C1847" s="284"/>
      <c r="D1847" s="283"/>
      <c r="E1847" s="284"/>
      <c r="F1847" s="284"/>
      <c r="G1847" s="285"/>
      <c r="H1847" s="285"/>
      <c r="I1847" s="285"/>
      <c r="J1847" s="286"/>
      <c r="K1847" s="285"/>
      <c r="L1847" s="285"/>
      <c r="M1847" s="285"/>
      <c r="N1847" s="283"/>
      <c r="O1847" s="287"/>
      <c r="P1847" s="288"/>
      <c r="Q1847" s="289"/>
      <c r="R1847" s="290"/>
      <c r="S1847" s="291"/>
      <c r="T1847" s="291"/>
      <c r="U1847" s="292"/>
      <c r="V1847" s="259"/>
      <c r="W1847" s="259"/>
    </row>
    <row r="1848" spans="1:23" s="247" customFormat="1" x14ac:dyDescent="0.25">
      <c r="A1848" s="228"/>
      <c r="B1848" s="283"/>
      <c r="C1848" s="284"/>
      <c r="D1848" s="283"/>
      <c r="E1848" s="284"/>
      <c r="F1848" s="284"/>
      <c r="G1848" s="285"/>
      <c r="H1848" s="285"/>
      <c r="I1848" s="285"/>
      <c r="J1848" s="286"/>
      <c r="K1848" s="285"/>
      <c r="L1848" s="285"/>
      <c r="M1848" s="285"/>
      <c r="N1848" s="283"/>
      <c r="O1848" s="287"/>
      <c r="P1848" s="288"/>
      <c r="Q1848" s="289"/>
      <c r="R1848" s="290"/>
      <c r="S1848" s="291"/>
      <c r="T1848" s="291"/>
      <c r="U1848" s="292"/>
      <c r="V1848" s="259"/>
      <c r="W1848" s="259"/>
    </row>
    <row r="1849" spans="1:23" s="247" customFormat="1" x14ac:dyDescent="0.25">
      <c r="A1849" s="228"/>
      <c r="B1849" s="283"/>
      <c r="C1849" s="284"/>
      <c r="D1849" s="283"/>
      <c r="E1849" s="284"/>
      <c r="F1849" s="284"/>
      <c r="G1849" s="285"/>
      <c r="H1849" s="285"/>
      <c r="I1849" s="285"/>
      <c r="J1849" s="286"/>
      <c r="K1849" s="285"/>
      <c r="L1849" s="285"/>
      <c r="M1849" s="285"/>
      <c r="N1849" s="283"/>
      <c r="O1849" s="287"/>
      <c r="P1849" s="288"/>
      <c r="Q1849" s="289"/>
      <c r="R1849" s="290"/>
      <c r="S1849" s="291"/>
      <c r="T1849" s="291"/>
      <c r="U1849" s="292"/>
      <c r="V1849" s="259"/>
      <c r="W1849" s="259"/>
    </row>
    <row r="1850" spans="1:23" s="247" customFormat="1" x14ac:dyDescent="0.25">
      <c r="A1850" s="228"/>
      <c r="B1850" s="283"/>
      <c r="C1850" s="284"/>
      <c r="D1850" s="283"/>
      <c r="E1850" s="284"/>
      <c r="F1850" s="284"/>
      <c r="G1850" s="285"/>
      <c r="H1850" s="285"/>
      <c r="I1850" s="285"/>
      <c r="J1850" s="286"/>
      <c r="K1850" s="285"/>
      <c r="L1850" s="285"/>
      <c r="M1850" s="285"/>
      <c r="N1850" s="283"/>
      <c r="O1850" s="287"/>
      <c r="P1850" s="288"/>
      <c r="Q1850" s="289"/>
      <c r="R1850" s="290"/>
      <c r="S1850" s="291"/>
      <c r="T1850" s="291"/>
      <c r="U1850" s="292"/>
      <c r="V1850" s="259"/>
      <c r="W1850" s="259"/>
    </row>
    <row r="1851" spans="1:23" s="247" customFormat="1" x14ac:dyDescent="0.25">
      <c r="A1851" s="228"/>
      <c r="B1851" s="283"/>
      <c r="C1851" s="284"/>
      <c r="D1851" s="283"/>
      <c r="E1851" s="284"/>
      <c r="F1851" s="284"/>
      <c r="G1851" s="285"/>
      <c r="H1851" s="285"/>
      <c r="I1851" s="285"/>
      <c r="J1851" s="286"/>
      <c r="K1851" s="285"/>
      <c r="L1851" s="285"/>
      <c r="M1851" s="285"/>
      <c r="N1851" s="283"/>
      <c r="O1851" s="287"/>
      <c r="P1851" s="288"/>
      <c r="Q1851" s="289"/>
      <c r="R1851" s="290"/>
      <c r="S1851" s="291"/>
      <c r="T1851" s="291"/>
      <c r="U1851" s="292"/>
      <c r="V1851" s="259"/>
      <c r="W1851" s="259"/>
    </row>
    <row r="1852" spans="1:23" s="247" customFormat="1" x14ac:dyDescent="0.25">
      <c r="A1852" s="228"/>
      <c r="B1852" s="283"/>
      <c r="C1852" s="284"/>
      <c r="D1852" s="283"/>
      <c r="E1852" s="284"/>
      <c r="F1852" s="284"/>
      <c r="G1852" s="285"/>
      <c r="H1852" s="285"/>
      <c r="I1852" s="285"/>
      <c r="J1852" s="286"/>
      <c r="K1852" s="285"/>
      <c r="L1852" s="285"/>
      <c r="M1852" s="285"/>
      <c r="N1852" s="283"/>
      <c r="O1852" s="287"/>
      <c r="P1852" s="288"/>
      <c r="Q1852" s="289"/>
      <c r="R1852" s="290"/>
      <c r="S1852" s="291"/>
      <c r="T1852" s="291"/>
      <c r="U1852" s="292"/>
      <c r="V1852" s="259"/>
      <c r="W1852" s="259"/>
    </row>
    <row r="1853" spans="1:23" s="247" customFormat="1" x14ac:dyDescent="0.25">
      <c r="A1853" s="228"/>
      <c r="B1853" s="283"/>
      <c r="C1853" s="284"/>
      <c r="D1853" s="283"/>
      <c r="E1853" s="284"/>
      <c r="F1853" s="284"/>
      <c r="G1853" s="285"/>
      <c r="H1853" s="285"/>
      <c r="I1853" s="285"/>
      <c r="J1853" s="286"/>
      <c r="K1853" s="285"/>
      <c r="L1853" s="285"/>
      <c r="M1853" s="285"/>
      <c r="N1853" s="283"/>
      <c r="O1853" s="287"/>
      <c r="P1853" s="288"/>
      <c r="Q1853" s="289"/>
      <c r="R1853" s="290"/>
      <c r="S1853" s="291"/>
      <c r="T1853" s="291"/>
      <c r="U1853" s="292"/>
      <c r="V1853" s="259"/>
      <c r="W1853" s="259"/>
    </row>
    <row r="1854" spans="1:23" s="247" customFormat="1" x14ac:dyDescent="0.25">
      <c r="A1854" s="228"/>
      <c r="B1854" s="283"/>
      <c r="C1854" s="284"/>
      <c r="D1854" s="283"/>
      <c r="E1854" s="284"/>
      <c r="F1854" s="284"/>
      <c r="G1854" s="285"/>
      <c r="H1854" s="285"/>
      <c r="I1854" s="285"/>
      <c r="J1854" s="286"/>
      <c r="K1854" s="285"/>
      <c r="L1854" s="285"/>
      <c r="M1854" s="285"/>
      <c r="N1854" s="283"/>
      <c r="O1854" s="287"/>
      <c r="P1854" s="288"/>
      <c r="Q1854" s="289"/>
      <c r="R1854" s="290"/>
      <c r="S1854" s="291"/>
      <c r="T1854" s="291"/>
      <c r="U1854" s="292"/>
      <c r="V1854" s="259"/>
      <c r="W1854" s="259"/>
    </row>
    <row r="1855" spans="1:23" s="247" customFormat="1" x14ac:dyDescent="0.25">
      <c r="A1855" s="228"/>
      <c r="B1855" s="283"/>
      <c r="C1855" s="284"/>
      <c r="D1855" s="283"/>
      <c r="E1855" s="284"/>
      <c r="F1855" s="284"/>
      <c r="G1855" s="285"/>
      <c r="H1855" s="285"/>
      <c r="I1855" s="285"/>
      <c r="J1855" s="286"/>
      <c r="K1855" s="285"/>
      <c r="L1855" s="285"/>
      <c r="M1855" s="285"/>
      <c r="N1855" s="283"/>
      <c r="O1855" s="287"/>
      <c r="P1855" s="288"/>
      <c r="Q1855" s="289"/>
      <c r="R1855" s="290"/>
      <c r="S1855" s="291"/>
      <c r="T1855" s="291"/>
      <c r="U1855" s="292"/>
      <c r="V1855" s="259"/>
      <c r="W1855" s="259"/>
    </row>
    <row r="1856" spans="1:23" s="247" customFormat="1" x14ac:dyDescent="0.25">
      <c r="A1856" s="228"/>
      <c r="B1856" s="283"/>
      <c r="C1856" s="284"/>
      <c r="D1856" s="283"/>
      <c r="E1856" s="284"/>
      <c r="F1856" s="284"/>
      <c r="G1856" s="285"/>
      <c r="H1856" s="285"/>
      <c r="I1856" s="285"/>
      <c r="J1856" s="286"/>
      <c r="K1856" s="285"/>
      <c r="L1856" s="285"/>
      <c r="M1856" s="285"/>
      <c r="N1856" s="283"/>
      <c r="O1856" s="287"/>
      <c r="P1856" s="288"/>
      <c r="Q1856" s="289"/>
      <c r="R1856" s="290"/>
      <c r="S1856" s="291"/>
      <c r="T1856" s="291"/>
      <c r="U1856" s="292"/>
      <c r="V1856" s="259"/>
      <c r="W1856" s="259"/>
    </row>
    <row r="1857" spans="1:23" s="247" customFormat="1" x14ac:dyDescent="0.25">
      <c r="A1857" s="228"/>
      <c r="B1857" s="283"/>
      <c r="C1857" s="284"/>
      <c r="D1857" s="283"/>
      <c r="E1857" s="284"/>
      <c r="F1857" s="284"/>
      <c r="G1857" s="285"/>
      <c r="H1857" s="285"/>
      <c r="I1857" s="285"/>
      <c r="J1857" s="286"/>
      <c r="K1857" s="285"/>
      <c r="L1857" s="285"/>
      <c r="M1857" s="285"/>
      <c r="N1857" s="283"/>
      <c r="O1857" s="287"/>
      <c r="P1857" s="288"/>
      <c r="Q1857" s="289"/>
      <c r="R1857" s="290"/>
      <c r="S1857" s="291"/>
      <c r="T1857" s="291"/>
      <c r="U1857" s="292"/>
      <c r="V1857" s="259"/>
      <c r="W1857" s="259"/>
    </row>
    <row r="1858" spans="1:23" s="247" customFormat="1" x14ac:dyDescent="0.25">
      <c r="A1858" s="228"/>
      <c r="B1858" s="283"/>
      <c r="C1858" s="284"/>
      <c r="D1858" s="283"/>
      <c r="E1858" s="284"/>
      <c r="F1858" s="284"/>
      <c r="G1858" s="285"/>
      <c r="H1858" s="285"/>
      <c r="I1858" s="285"/>
      <c r="J1858" s="286"/>
      <c r="K1858" s="285"/>
      <c r="L1858" s="285"/>
      <c r="M1858" s="285"/>
      <c r="N1858" s="283"/>
      <c r="O1858" s="287"/>
      <c r="P1858" s="288"/>
      <c r="Q1858" s="289"/>
      <c r="R1858" s="290"/>
      <c r="S1858" s="291"/>
      <c r="T1858" s="291"/>
      <c r="U1858" s="292"/>
      <c r="V1858" s="259"/>
      <c r="W1858" s="259"/>
    </row>
    <row r="1859" spans="1:23" s="247" customFormat="1" x14ac:dyDescent="0.25">
      <c r="A1859" s="228"/>
      <c r="B1859" s="283"/>
      <c r="C1859" s="284"/>
      <c r="D1859" s="283"/>
      <c r="E1859" s="284"/>
      <c r="F1859" s="284"/>
      <c r="G1859" s="285"/>
      <c r="H1859" s="285"/>
      <c r="I1859" s="285"/>
      <c r="J1859" s="286"/>
      <c r="K1859" s="285"/>
      <c r="L1859" s="285"/>
      <c r="M1859" s="285"/>
      <c r="N1859" s="283"/>
      <c r="O1859" s="287"/>
      <c r="P1859" s="288"/>
      <c r="Q1859" s="289"/>
      <c r="R1859" s="290"/>
      <c r="S1859" s="291"/>
      <c r="T1859" s="291"/>
      <c r="U1859" s="292"/>
      <c r="V1859" s="259"/>
      <c r="W1859" s="259"/>
    </row>
    <row r="1860" spans="1:23" s="247" customFormat="1" x14ac:dyDescent="0.25">
      <c r="A1860" s="228"/>
      <c r="B1860" s="283"/>
      <c r="C1860" s="284"/>
      <c r="D1860" s="283"/>
      <c r="E1860" s="284"/>
      <c r="F1860" s="284"/>
      <c r="G1860" s="285"/>
      <c r="H1860" s="285"/>
      <c r="I1860" s="285"/>
      <c r="J1860" s="286"/>
      <c r="K1860" s="285"/>
      <c r="L1860" s="285"/>
      <c r="M1860" s="285"/>
      <c r="N1860" s="283"/>
      <c r="O1860" s="287"/>
      <c r="P1860" s="288"/>
      <c r="Q1860" s="289"/>
      <c r="R1860" s="290"/>
      <c r="S1860" s="291"/>
      <c r="T1860" s="291"/>
      <c r="U1860" s="292"/>
      <c r="V1860" s="259"/>
      <c r="W1860" s="259"/>
    </row>
    <row r="1861" spans="1:23" s="247" customFormat="1" x14ac:dyDescent="0.25">
      <c r="A1861" s="228"/>
      <c r="B1861" s="283"/>
      <c r="C1861" s="284"/>
      <c r="D1861" s="283"/>
      <c r="E1861" s="284"/>
      <c r="F1861" s="284"/>
      <c r="G1861" s="285"/>
      <c r="H1861" s="285"/>
      <c r="I1861" s="285"/>
      <c r="J1861" s="286"/>
      <c r="K1861" s="285"/>
      <c r="L1861" s="285"/>
      <c r="M1861" s="285"/>
      <c r="N1861" s="283"/>
      <c r="O1861" s="287"/>
      <c r="P1861" s="288"/>
      <c r="Q1861" s="289"/>
      <c r="R1861" s="290"/>
      <c r="S1861" s="291"/>
      <c r="T1861" s="291"/>
      <c r="U1861" s="292"/>
      <c r="V1861" s="259"/>
      <c r="W1861" s="259"/>
    </row>
    <row r="1862" spans="1:23" s="247" customFormat="1" x14ac:dyDescent="0.25">
      <c r="A1862" s="228"/>
      <c r="B1862" s="283"/>
      <c r="C1862" s="284"/>
      <c r="D1862" s="283"/>
      <c r="E1862" s="284"/>
      <c r="F1862" s="284"/>
      <c r="G1862" s="285"/>
      <c r="H1862" s="285"/>
      <c r="I1862" s="285"/>
      <c r="J1862" s="286"/>
      <c r="K1862" s="285"/>
      <c r="L1862" s="285"/>
      <c r="M1862" s="285"/>
      <c r="N1862" s="283"/>
      <c r="O1862" s="287"/>
      <c r="P1862" s="288"/>
      <c r="Q1862" s="289"/>
      <c r="R1862" s="290"/>
      <c r="S1862" s="291"/>
      <c r="T1862" s="291"/>
      <c r="U1862" s="292"/>
      <c r="V1862" s="259"/>
      <c r="W1862" s="259"/>
    </row>
    <row r="1863" spans="1:23" s="247" customFormat="1" x14ac:dyDescent="0.25">
      <c r="A1863" s="228"/>
      <c r="B1863" s="283"/>
      <c r="C1863" s="284"/>
      <c r="D1863" s="283"/>
      <c r="E1863" s="284"/>
      <c r="F1863" s="284"/>
      <c r="G1863" s="285"/>
      <c r="H1863" s="285"/>
      <c r="I1863" s="285"/>
      <c r="J1863" s="286"/>
      <c r="K1863" s="285"/>
      <c r="L1863" s="285"/>
      <c r="M1863" s="285"/>
      <c r="N1863" s="283"/>
      <c r="O1863" s="287"/>
      <c r="P1863" s="288"/>
      <c r="Q1863" s="289"/>
      <c r="R1863" s="290"/>
      <c r="S1863" s="291"/>
      <c r="T1863" s="291"/>
      <c r="U1863" s="292"/>
      <c r="V1863" s="259"/>
      <c r="W1863" s="259"/>
    </row>
    <row r="1864" spans="1:23" s="247" customFormat="1" x14ac:dyDescent="0.25">
      <c r="A1864" s="228"/>
      <c r="B1864" s="283"/>
      <c r="C1864" s="284"/>
      <c r="D1864" s="283"/>
      <c r="E1864" s="284"/>
      <c r="F1864" s="284"/>
      <c r="G1864" s="285"/>
      <c r="H1864" s="285"/>
      <c r="I1864" s="285"/>
      <c r="J1864" s="286"/>
      <c r="K1864" s="285"/>
      <c r="L1864" s="285"/>
      <c r="M1864" s="285"/>
      <c r="N1864" s="283"/>
      <c r="O1864" s="287"/>
      <c r="P1864" s="288"/>
      <c r="Q1864" s="289"/>
      <c r="R1864" s="290"/>
      <c r="S1864" s="291"/>
      <c r="T1864" s="291"/>
      <c r="U1864" s="292"/>
      <c r="V1864" s="259"/>
      <c r="W1864" s="259"/>
    </row>
    <row r="1865" spans="1:23" s="247" customFormat="1" x14ac:dyDescent="0.25">
      <c r="A1865" s="228"/>
      <c r="B1865" s="283"/>
      <c r="C1865" s="284"/>
      <c r="D1865" s="283"/>
      <c r="E1865" s="284"/>
      <c r="F1865" s="284"/>
      <c r="G1865" s="285"/>
      <c r="H1865" s="285"/>
      <c r="I1865" s="285"/>
      <c r="J1865" s="286"/>
      <c r="K1865" s="285"/>
      <c r="L1865" s="285"/>
      <c r="M1865" s="285"/>
      <c r="N1865" s="283"/>
      <c r="O1865" s="287"/>
      <c r="P1865" s="288"/>
      <c r="Q1865" s="289"/>
      <c r="R1865" s="290"/>
      <c r="S1865" s="291"/>
      <c r="T1865" s="291"/>
      <c r="U1865" s="292"/>
      <c r="V1865" s="259"/>
      <c r="W1865" s="259"/>
    </row>
    <row r="1866" spans="1:23" s="247" customFormat="1" x14ac:dyDescent="0.25">
      <c r="A1866" s="228"/>
      <c r="B1866" s="283"/>
      <c r="C1866" s="284"/>
      <c r="D1866" s="283"/>
      <c r="E1866" s="284"/>
      <c r="F1866" s="284"/>
      <c r="G1866" s="285"/>
      <c r="H1866" s="285"/>
      <c r="I1866" s="285"/>
      <c r="J1866" s="286"/>
      <c r="K1866" s="285"/>
      <c r="L1866" s="285"/>
      <c r="M1866" s="285"/>
      <c r="N1866" s="283"/>
      <c r="O1866" s="287"/>
      <c r="P1866" s="288"/>
      <c r="Q1866" s="289"/>
      <c r="R1866" s="290"/>
      <c r="S1866" s="291"/>
      <c r="T1866" s="291"/>
      <c r="U1866" s="292"/>
      <c r="V1866" s="259"/>
      <c r="W1866" s="259"/>
    </row>
    <row r="1867" spans="1:23" s="247" customFormat="1" x14ac:dyDescent="0.25">
      <c r="A1867" s="228"/>
      <c r="B1867" s="283"/>
      <c r="C1867" s="284"/>
      <c r="D1867" s="283"/>
      <c r="E1867" s="284"/>
      <c r="F1867" s="284"/>
      <c r="G1867" s="285"/>
      <c r="H1867" s="285"/>
      <c r="I1867" s="285"/>
      <c r="J1867" s="286"/>
      <c r="K1867" s="285"/>
      <c r="L1867" s="285"/>
      <c r="M1867" s="285"/>
      <c r="N1867" s="283"/>
      <c r="O1867" s="287"/>
      <c r="P1867" s="288"/>
      <c r="Q1867" s="289"/>
      <c r="R1867" s="290"/>
      <c r="S1867" s="291"/>
      <c r="T1867" s="291"/>
      <c r="U1867" s="292"/>
      <c r="V1867" s="259"/>
      <c r="W1867" s="268"/>
    </row>
    <row r="1868" spans="1:23" s="247" customFormat="1" x14ac:dyDescent="0.25">
      <c r="A1868" s="228"/>
      <c r="B1868" s="283"/>
      <c r="C1868" s="284"/>
      <c r="D1868" s="283"/>
      <c r="E1868" s="284"/>
      <c r="F1868" s="284"/>
      <c r="G1868" s="285"/>
      <c r="H1868" s="285"/>
      <c r="I1868" s="285"/>
      <c r="J1868" s="286"/>
      <c r="K1868" s="285"/>
      <c r="L1868" s="285"/>
      <c r="M1868" s="285"/>
      <c r="N1868" s="283"/>
      <c r="O1868" s="287"/>
      <c r="P1868" s="288"/>
      <c r="Q1868" s="289"/>
      <c r="R1868" s="290"/>
      <c r="S1868" s="291"/>
      <c r="T1868" s="291"/>
      <c r="U1868" s="292"/>
      <c r="V1868" s="259"/>
      <c r="W1868" s="259"/>
    </row>
    <row r="1869" spans="1:23" s="247" customFormat="1" x14ac:dyDescent="0.25">
      <c r="A1869" s="228"/>
      <c r="B1869" s="283"/>
      <c r="C1869" s="284"/>
      <c r="D1869" s="283"/>
      <c r="E1869" s="284"/>
      <c r="F1869" s="284"/>
      <c r="G1869" s="285"/>
      <c r="H1869" s="285"/>
      <c r="I1869" s="285"/>
      <c r="J1869" s="286"/>
      <c r="K1869" s="285"/>
      <c r="L1869" s="285"/>
      <c r="M1869" s="285"/>
      <c r="N1869" s="283"/>
      <c r="O1869" s="287"/>
      <c r="P1869" s="288"/>
      <c r="Q1869" s="289"/>
      <c r="R1869" s="290"/>
      <c r="S1869" s="291"/>
      <c r="T1869" s="291"/>
      <c r="U1869" s="292"/>
      <c r="V1869" s="259"/>
      <c r="W1869" s="259"/>
    </row>
    <row r="1870" spans="1:23" s="247" customFormat="1" x14ac:dyDescent="0.25">
      <c r="A1870" s="228"/>
      <c r="B1870" s="283"/>
      <c r="C1870" s="284"/>
      <c r="D1870" s="283"/>
      <c r="E1870" s="284"/>
      <c r="F1870" s="284"/>
      <c r="G1870" s="285"/>
      <c r="H1870" s="285"/>
      <c r="I1870" s="285"/>
      <c r="J1870" s="286"/>
      <c r="K1870" s="285"/>
      <c r="L1870" s="285"/>
      <c r="M1870" s="285"/>
      <c r="N1870" s="283"/>
      <c r="O1870" s="287"/>
      <c r="P1870" s="288"/>
      <c r="Q1870" s="289"/>
      <c r="R1870" s="290"/>
      <c r="S1870" s="291"/>
      <c r="T1870" s="291"/>
      <c r="U1870" s="292"/>
      <c r="V1870" s="259"/>
      <c r="W1870" s="259"/>
    </row>
    <row r="1871" spans="1:23" s="247" customFormat="1" x14ac:dyDescent="0.25">
      <c r="A1871" s="228"/>
      <c r="B1871" s="283"/>
      <c r="C1871" s="284"/>
      <c r="D1871" s="283"/>
      <c r="E1871" s="284"/>
      <c r="F1871" s="284"/>
      <c r="G1871" s="285"/>
      <c r="H1871" s="285"/>
      <c r="I1871" s="285"/>
      <c r="J1871" s="286"/>
      <c r="K1871" s="285"/>
      <c r="L1871" s="285"/>
      <c r="M1871" s="285"/>
      <c r="N1871" s="283"/>
      <c r="O1871" s="287"/>
      <c r="P1871" s="288"/>
      <c r="Q1871" s="289"/>
      <c r="R1871" s="290"/>
      <c r="S1871" s="291"/>
      <c r="T1871" s="291"/>
      <c r="U1871" s="292"/>
      <c r="V1871" s="259"/>
      <c r="W1871" s="259"/>
    </row>
    <row r="1872" spans="1:23" s="247" customFormat="1" x14ac:dyDescent="0.25">
      <c r="A1872" s="228"/>
      <c r="B1872" s="283"/>
      <c r="C1872" s="284"/>
      <c r="D1872" s="283"/>
      <c r="E1872" s="284"/>
      <c r="F1872" s="284"/>
      <c r="G1872" s="285"/>
      <c r="H1872" s="285"/>
      <c r="I1872" s="285"/>
      <c r="J1872" s="286"/>
      <c r="K1872" s="285"/>
      <c r="L1872" s="285"/>
      <c r="M1872" s="285"/>
      <c r="N1872" s="283"/>
      <c r="O1872" s="287"/>
      <c r="P1872" s="288"/>
      <c r="Q1872" s="289"/>
      <c r="R1872" s="290"/>
      <c r="S1872" s="291"/>
      <c r="T1872" s="291"/>
      <c r="U1872" s="292"/>
      <c r="V1872" s="259"/>
      <c r="W1872" s="259"/>
    </row>
    <row r="1873" spans="1:23" s="247" customFormat="1" x14ac:dyDescent="0.25">
      <c r="A1873" s="228"/>
      <c r="B1873" s="283"/>
      <c r="C1873" s="284"/>
      <c r="D1873" s="283"/>
      <c r="E1873" s="284"/>
      <c r="F1873" s="284"/>
      <c r="G1873" s="285"/>
      <c r="H1873" s="285"/>
      <c r="I1873" s="285"/>
      <c r="J1873" s="286"/>
      <c r="K1873" s="285"/>
      <c r="L1873" s="285"/>
      <c r="M1873" s="285"/>
      <c r="N1873" s="283"/>
      <c r="O1873" s="287"/>
      <c r="P1873" s="288"/>
      <c r="Q1873" s="289"/>
      <c r="R1873" s="290"/>
      <c r="S1873" s="291"/>
      <c r="T1873" s="291"/>
      <c r="U1873" s="292"/>
      <c r="V1873" s="259"/>
      <c r="W1873" s="259"/>
    </row>
    <row r="1874" spans="1:23" s="247" customFormat="1" x14ac:dyDescent="0.25">
      <c r="A1874" s="228"/>
      <c r="B1874" s="283"/>
      <c r="C1874" s="284"/>
      <c r="D1874" s="283"/>
      <c r="E1874" s="284"/>
      <c r="F1874" s="284"/>
      <c r="G1874" s="285"/>
      <c r="H1874" s="285"/>
      <c r="I1874" s="285"/>
      <c r="J1874" s="286"/>
      <c r="K1874" s="285"/>
      <c r="L1874" s="285"/>
      <c r="M1874" s="285"/>
      <c r="N1874" s="283"/>
      <c r="O1874" s="287"/>
      <c r="P1874" s="288"/>
      <c r="Q1874" s="289"/>
      <c r="R1874" s="290"/>
      <c r="S1874" s="291"/>
      <c r="T1874" s="291"/>
      <c r="U1874" s="292"/>
      <c r="V1874" s="259"/>
      <c r="W1874" s="259"/>
    </row>
    <row r="1875" spans="1:23" s="247" customFormat="1" x14ac:dyDescent="0.25">
      <c r="A1875" s="228"/>
      <c r="B1875" s="283"/>
      <c r="C1875" s="284"/>
      <c r="D1875" s="283"/>
      <c r="E1875" s="284"/>
      <c r="F1875" s="284"/>
      <c r="G1875" s="285"/>
      <c r="H1875" s="285"/>
      <c r="I1875" s="285"/>
      <c r="J1875" s="286"/>
      <c r="K1875" s="285"/>
      <c r="L1875" s="285"/>
      <c r="M1875" s="285"/>
      <c r="N1875" s="283"/>
      <c r="O1875" s="287"/>
      <c r="P1875" s="288"/>
      <c r="Q1875" s="289"/>
      <c r="R1875" s="290"/>
      <c r="S1875" s="291"/>
      <c r="T1875" s="291"/>
      <c r="U1875" s="292"/>
      <c r="V1875" s="259"/>
      <c r="W1875" s="259"/>
    </row>
    <row r="1876" spans="1:23" s="247" customFormat="1" x14ac:dyDescent="0.25">
      <c r="A1876" s="228"/>
      <c r="B1876" s="283"/>
      <c r="C1876" s="284"/>
      <c r="D1876" s="283"/>
      <c r="E1876" s="284"/>
      <c r="F1876" s="284"/>
      <c r="G1876" s="285"/>
      <c r="H1876" s="285"/>
      <c r="I1876" s="285"/>
      <c r="J1876" s="286"/>
      <c r="K1876" s="285"/>
      <c r="L1876" s="285"/>
      <c r="M1876" s="285"/>
      <c r="N1876" s="283"/>
      <c r="O1876" s="287"/>
      <c r="P1876" s="288"/>
      <c r="Q1876" s="289"/>
      <c r="R1876" s="290"/>
      <c r="S1876" s="291"/>
      <c r="T1876" s="291"/>
      <c r="U1876" s="292"/>
      <c r="V1876" s="259"/>
      <c r="W1876" s="259"/>
    </row>
    <row r="1877" spans="1:23" s="247" customFormat="1" x14ac:dyDescent="0.25">
      <c r="A1877" s="228"/>
      <c r="B1877" s="283"/>
      <c r="C1877" s="284"/>
      <c r="D1877" s="283"/>
      <c r="E1877" s="284"/>
      <c r="F1877" s="284"/>
      <c r="G1877" s="285"/>
      <c r="H1877" s="285"/>
      <c r="I1877" s="285"/>
      <c r="J1877" s="286"/>
      <c r="K1877" s="285"/>
      <c r="L1877" s="285"/>
      <c r="M1877" s="285"/>
      <c r="N1877" s="283"/>
      <c r="O1877" s="287"/>
      <c r="P1877" s="288"/>
      <c r="Q1877" s="289"/>
      <c r="R1877" s="290"/>
      <c r="S1877" s="291"/>
      <c r="T1877" s="291"/>
      <c r="U1877" s="292"/>
      <c r="V1877" s="259"/>
      <c r="W1877" s="259"/>
    </row>
    <row r="1878" spans="1:23" s="247" customFormat="1" x14ac:dyDescent="0.25">
      <c r="A1878" s="228"/>
      <c r="B1878" s="283"/>
      <c r="C1878" s="284"/>
      <c r="D1878" s="283"/>
      <c r="E1878" s="284"/>
      <c r="F1878" s="284"/>
      <c r="G1878" s="285"/>
      <c r="H1878" s="285"/>
      <c r="I1878" s="285"/>
      <c r="J1878" s="286"/>
      <c r="K1878" s="285"/>
      <c r="L1878" s="285"/>
      <c r="M1878" s="285"/>
      <c r="N1878" s="283"/>
      <c r="O1878" s="287"/>
      <c r="P1878" s="288"/>
      <c r="Q1878" s="289"/>
      <c r="R1878" s="290"/>
      <c r="S1878" s="291"/>
      <c r="T1878" s="291"/>
      <c r="U1878" s="292"/>
      <c r="V1878" s="259"/>
      <c r="W1878" s="259"/>
    </row>
    <row r="1879" spans="1:23" s="247" customFormat="1" x14ac:dyDescent="0.25">
      <c r="A1879" s="228"/>
      <c r="B1879" s="283"/>
      <c r="C1879" s="284"/>
      <c r="D1879" s="283"/>
      <c r="E1879" s="284"/>
      <c r="F1879" s="284"/>
      <c r="G1879" s="285"/>
      <c r="H1879" s="285"/>
      <c r="I1879" s="285"/>
      <c r="J1879" s="286"/>
      <c r="K1879" s="285"/>
      <c r="L1879" s="285"/>
      <c r="M1879" s="285"/>
      <c r="N1879" s="283"/>
      <c r="O1879" s="287"/>
      <c r="P1879" s="288"/>
      <c r="Q1879" s="289"/>
      <c r="R1879" s="290"/>
      <c r="S1879" s="291"/>
      <c r="T1879" s="291"/>
      <c r="U1879" s="292"/>
      <c r="V1879" s="259"/>
      <c r="W1879" s="259"/>
    </row>
    <row r="1880" spans="1:23" s="247" customFormat="1" x14ac:dyDescent="0.25">
      <c r="A1880" s="228"/>
      <c r="B1880" s="283"/>
      <c r="C1880" s="284"/>
      <c r="D1880" s="283"/>
      <c r="E1880" s="284"/>
      <c r="F1880" s="284"/>
      <c r="G1880" s="285"/>
      <c r="H1880" s="285"/>
      <c r="I1880" s="285"/>
      <c r="J1880" s="286"/>
      <c r="K1880" s="285"/>
      <c r="L1880" s="285"/>
      <c r="M1880" s="285"/>
      <c r="N1880" s="283"/>
      <c r="O1880" s="287"/>
      <c r="P1880" s="288"/>
      <c r="Q1880" s="289"/>
      <c r="R1880" s="290"/>
      <c r="S1880" s="291"/>
      <c r="T1880" s="291"/>
      <c r="U1880" s="292"/>
      <c r="V1880" s="259"/>
      <c r="W1880" s="259"/>
    </row>
    <row r="1881" spans="1:23" s="247" customFormat="1" x14ac:dyDescent="0.25">
      <c r="A1881" s="228"/>
      <c r="B1881" s="283"/>
      <c r="C1881" s="284"/>
      <c r="D1881" s="283"/>
      <c r="E1881" s="284"/>
      <c r="F1881" s="284"/>
      <c r="G1881" s="285"/>
      <c r="H1881" s="285"/>
      <c r="I1881" s="285"/>
      <c r="J1881" s="286"/>
      <c r="K1881" s="285"/>
      <c r="L1881" s="285"/>
      <c r="M1881" s="285"/>
      <c r="N1881" s="283"/>
      <c r="O1881" s="287"/>
      <c r="P1881" s="288"/>
      <c r="Q1881" s="289"/>
      <c r="R1881" s="290"/>
      <c r="S1881" s="291"/>
      <c r="T1881" s="291"/>
      <c r="U1881" s="292"/>
      <c r="V1881" s="259"/>
      <c r="W1881" s="259"/>
    </row>
    <row r="1882" spans="1:23" s="247" customFormat="1" x14ac:dyDescent="0.25">
      <c r="A1882" s="228"/>
      <c r="B1882" s="283"/>
      <c r="C1882" s="284"/>
      <c r="D1882" s="283"/>
      <c r="E1882" s="284"/>
      <c r="F1882" s="284"/>
      <c r="G1882" s="285"/>
      <c r="H1882" s="285"/>
      <c r="I1882" s="285"/>
      <c r="J1882" s="286"/>
      <c r="K1882" s="285"/>
      <c r="L1882" s="285"/>
      <c r="M1882" s="285"/>
      <c r="N1882" s="283"/>
      <c r="O1882" s="287"/>
      <c r="P1882" s="288"/>
      <c r="Q1882" s="289"/>
      <c r="R1882" s="290"/>
      <c r="S1882" s="291"/>
      <c r="T1882" s="291"/>
      <c r="U1882" s="292"/>
      <c r="V1882" s="259"/>
      <c r="W1882" s="259"/>
    </row>
    <row r="1883" spans="1:23" s="247" customFormat="1" x14ac:dyDescent="0.25">
      <c r="A1883" s="228"/>
      <c r="B1883" s="283"/>
      <c r="C1883" s="284"/>
      <c r="D1883" s="283"/>
      <c r="E1883" s="284"/>
      <c r="F1883" s="284"/>
      <c r="G1883" s="285"/>
      <c r="H1883" s="285"/>
      <c r="I1883" s="285"/>
      <c r="J1883" s="286"/>
      <c r="K1883" s="285"/>
      <c r="L1883" s="285"/>
      <c r="M1883" s="285"/>
      <c r="N1883" s="283"/>
      <c r="O1883" s="287"/>
      <c r="P1883" s="288"/>
      <c r="Q1883" s="289"/>
      <c r="R1883" s="290"/>
      <c r="S1883" s="291"/>
      <c r="T1883" s="291"/>
      <c r="U1883" s="292"/>
      <c r="V1883" s="259"/>
      <c r="W1883" s="259"/>
    </row>
    <row r="1884" spans="1:23" s="247" customFormat="1" x14ac:dyDescent="0.25">
      <c r="A1884" s="228"/>
      <c r="B1884" s="283"/>
      <c r="C1884" s="284"/>
      <c r="D1884" s="283"/>
      <c r="E1884" s="284"/>
      <c r="F1884" s="284"/>
      <c r="G1884" s="285"/>
      <c r="H1884" s="285"/>
      <c r="I1884" s="285"/>
      <c r="J1884" s="286"/>
      <c r="K1884" s="285"/>
      <c r="L1884" s="285"/>
      <c r="M1884" s="285"/>
      <c r="N1884" s="283"/>
      <c r="O1884" s="287"/>
      <c r="P1884" s="288"/>
      <c r="Q1884" s="289"/>
      <c r="R1884" s="290"/>
      <c r="S1884" s="291"/>
      <c r="T1884" s="291"/>
      <c r="U1884" s="292"/>
      <c r="V1884" s="259"/>
      <c r="W1884" s="259"/>
    </row>
    <row r="1885" spans="1:23" s="247" customFormat="1" x14ac:dyDescent="0.25">
      <c r="A1885" s="228"/>
      <c r="B1885" s="283"/>
      <c r="C1885" s="284"/>
      <c r="D1885" s="283"/>
      <c r="E1885" s="284"/>
      <c r="F1885" s="284"/>
      <c r="G1885" s="285"/>
      <c r="H1885" s="285"/>
      <c r="I1885" s="285"/>
      <c r="J1885" s="286"/>
      <c r="K1885" s="285"/>
      <c r="L1885" s="285"/>
      <c r="M1885" s="285"/>
      <c r="N1885" s="283"/>
      <c r="O1885" s="287"/>
      <c r="P1885" s="288"/>
      <c r="Q1885" s="289"/>
      <c r="R1885" s="290"/>
      <c r="S1885" s="291"/>
      <c r="T1885" s="291"/>
      <c r="U1885" s="292"/>
      <c r="V1885" s="259"/>
      <c r="W1885" s="259"/>
    </row>
    <row r="1886" spans="1:23" s="247" customFormat="1" x14ac:dyDescent="0.25">
      <c r="A1886" s="228"/>
      <c r="B1886" s="283"/>
      <c r="C1886" s="284"/>
      <c r="D1886" s="283"/>
      <c r="E1886" s="284"/>
      <c r="F1886" s="284"/>
      <c r="G1886" s="285"/>
      <c r="H1886" s="285"/>
      <c r="I1886" s="285"/>
      <c r="J1886" s="286"/>
      <c r="K1886" s="285"/>
      <c r="L1886" s="285"/>
      <c r="M1886" s="285"/>
      <c r="N1886" s="283"/>
      <c r="O1886" s="287"/>
      <c r="P1886" s="288"/>
      <c r="Q1886" s="289"/>
      <c r="R1886" s="290"/>
      <c r="S1886" s="291"/>
      <c r="T1886" s="291"/>
      <c r="U1886" s="292"/>
      <c r="V1886" s="259"/>
      <c r="W1886" s="259"/>
    </row>
    <row r="1887" spans="1:23" s="247" customFormat="1" x14ac:dyDescent="0.25">
      <c r="A1887" s="228"/>
      <c r="B1887" s="283"/>
      <c r="C1887" s="284"/>
      <c r="D1887" s="283"/>
      <c r="E1887" s="284"/>
      <c r="F1887" s="284"/>
      <c r="G1887" s="285"/>
      <c r="H1887" s="285"/>
      <c r="I1887" s="285"/>
      <c r="J1887" s="286"/>
      <c r="K1887" s="285"/>
      <c r="L1887" s="285"/>
      <c r="M1887" s="285"/>
      <c r="N1887" s="283"/>
      <c r="O1887" s="287"/>
      <c r="P1887" s="288"/>
      <c r="Q1887" s="289"/>
      <c r="R1887" s="290"/>
      <c r="S1887" s="291"/>
      <c r="T1887" s="291"/>
      <c r="U1887" s="292"/>
      <c r="V1887" s="259"/>
      <c r="W1887" s="259"/>
    </row>
    <row r="1888" spans="1:23" s="247" customFormat="1" x14ac:dyDescent="0.25">
      <c r="A1888" s="228"/>
      <c r="B1888" s="283"/>
      <c r="C1888" s="284"/>
      <c r="D1888" s="283"/>
      <c r="E1888" s="284"/>
      <c r="F1888" s="284"/>
      <c r="G1888" s="285"/>
      <c r="H1888" s="285"/>
      <c r="I1888" s="285"/>
      <c r="J1888" s="286"/>
      <c r="K1888" s="285"/>
      <c r="L1888" s="285"/>
      <c r="M1888" s="285"/>
      <c r="N1888" s="283"/>
      <c r="O1888" s="287"/>
      <c r="P1888" s="288"/>
      <c r="Q1888" s="289"/>
      <c r="R1888" s="290"/>
      <c r="S1888" s="291"/>
      <c r="T1888" s="291"/>
      <c r="U1888" s="292"/>
      <c r="V1888" s="259"/>
      <c r="W1888" s="259"/>
    </row>
    <row r="1889" spans="1:23" s="247" customFormat="1" x14ac:dyDescent="0.25">
      <c r="A1889" s="228"/>
      <c r="B1889" s="283"/>
      <c r="C1889" s="284"/>
      <c r="D1889" s="283"/>
      <c r="E1889" s="284"/>
      <c r="F1889" s="284"/>
      <c r="G1889" s="285"/>
      <c r="H1889" s="285"/>
      <c r="I1889" s="285"/>
      <c r="J1889" s="286"/>
      <c r="K1889" s="285"/>
      <c r="L1889" s="285"/>
      <c r="M1889" s="285"/>
      <c r="N1889" s="283"/>
      <c r="O1889" s="287"/>
      <c r="P1889" s="288"/>
      <c r="Q1889" s="289"/>
      <c r="R1889" s="290"/>
      <c r="S1889" s="291"/>
      <c r="T1889" s="291"/>
      <c r="U1889" s="292"/>
      <c r="V1889" s="259"/>
      <c r="W1889" s="259"/>
    </row>
    <row r="1890" spans="1:23" s="247" customFormat="1" x14ac:dyDescent="0.25">
      <c r="A1890" s="228"/>
      <c r="B1890" s="283"/>
      <c r="C1890" s="284"/>
      <c r="D1890" s="283"/>
      <c r="E1890" s="284"/>
      <c r="F1890" s="284"/>
      <c r="G1890" s="285"/>
      <c r="H1890" s="285"/>
      <c r="I1890" s="285"/>
      <c r="J1890" s="286"/>
      <c r="K1890" s="285"/>
      <c r="L1890" s="285"/>
      <c r="M1890" s="285"/>
      <c r="N1890" s="283"/>
      <c r="O1890" s="287"/>
      <c r="P1890" s="288"/>
      <c r="Q1890" s="289"/>
      <c r="R1890" s="290"/>
      <c r="S1890" s="291"/>
      <c r="T1890" s="291"/>
      <c r="U1890" s="292"/>
      <c r="V1890" s="259"/>
      <c r="W1890" s="259"/>
    </row>
    <row r="1891" spans="1:23" s="247" customFormat="1" x14ac:dyDescent="0.25">
      <c r="A1891" s="228"/>
      <c r="B1891" s="283"/>
      <c r="C1891" s="284"/>
      <c r="D1891" s="283"/>
      <c r="E1891" s="284"/>
      <c r="F1891" s="284"/>
      <c r="G1891" s="285"/>
      <c r="H1891" s="285"/>
      <c r="I1891" s="285"/>
      <c r="J1891" s="286"/>
      <c r="K1891" s="285"/>
      <c r="L1891" s="285"/>
      <c r="M1891" s="285"/>
      <c r="N1891" s="283"/>
      <c r="O1891" s="287"/>
      <c r="P1891" s="288"/>
      <c r="Q1891" s="289"/>
      <c r="R1891" s="290"/>
      <c r="S1891" s="291"/>
      <c r="T1891" s="291"/>
      <c r="U1891" s="292"/>
      <c r="V1891" s="259"/>
      <c r="W1891" s="259"/>
    </row>
    <row r="1892" spans="1:23" s="247" customFormat="1" x14ac:dyDescent="0.25">
      <c r="A1892" s="228"/>
      <c r="B1892" s="283"/>
      <c r="C1892" s="284"/>
      <c r="D1892" s="283"/>
      <c r="E1892" s="284"/>
      <c r="F1892" s="284"/>
      <c r="G1892" s="285"/>
      <c r="H1892" s="285"/>
      <c r="I1892" s="285"/>
      <c r="J1892" s="286"/>
      <c r="K1892" s="285"/>
      <c r="L1892" s="285"/>
      <c r="M1892" s="285"/>
      <c r="N1892" s="283"/>
      <c r="O1892" s="287"/>
      <c r="P1892" s="288"/>
      <c r="Q1892" s="289"/>
      <c r="R1892" s="290"/>
      <c r="S1892" s="291"/>
      <c r="T1892" s="291"/>
      <c r="U1892" s="292"/>
      <c r="V1892" s="259"/>
      <c r="W1892" s="284"/>
    </row>
    <row r="1893" spans="1:23" s="247" customFormat="1" x14ac:dyDescent="0.25">
      <c r="A1893" s="228"/>
      <c r="B1893" s="283"/>
      <c r="C1893" s="284"/>
      <c r="D1893" s="283"/>
      <c r="E1893" s="284"/>
      <c r="F1893" s="284"/>
      <c r="G1893" s="285"/>
      <c r="H1893" s="285"/>
      <c r="I1893" s="285"/>
      <c r="J1893" s="286"/>
      <c r="K1893" s="285"/>
      <c r="L1893" s="285"/>
      <c r="M1893" s="285"/>
      <c r="N1893" s="283"/>
      <c r="O1893" s="287"/>
      <c r="P1893" s="288"/>
      <c r="Q1893" s="289"/>
      <c r="R1893" s="290"/>
      <c r="S1893" s="291"/>
      <c r="T1893" s="291"/>
      <c r="U1893" s="292"/>
      <c r="V1893" s="259"/>
      <c r="W1893" s="259"/>
    </row>
    <row r="1894" spans="1:23" s="247" customFormat="1" x14ac:dyDescent="0.25">
      <c r="A1894" s="228"/>
      <c r="B1894" s="283"/>
      <c r="C1894" s="284"/>
      <c r="D1894" s="283"/>
      <c r="E1894" s="284"/>
      <c r="F1894" s="284"/>
      <c r="G1894" s="285"/>
      <c r="H1894" s="285"/>
      <c r="I1894" s="285"/>
      <c r="J1894" s="286"/>
      <c r="K1894" s="285"/>
      <c r="L1894" s="285"/>
      <c r="M1894" s="285"/>
      <c r="N1894" s="283"/>
      <c r="O1894" s="287"/>
      <c r="P1894" s="288"/>
      <c r="Q1894" s="289"/>
      <c r="R1894" s="290"/>
      <c r="S1894" s="291"/>
      <c r="T1894" s="291"/>
      <c r="U1894" s="292"/>
      <c r="V1894" s="259"/>
      <c r="W1894" s="259"/>
    </row>
    <row r="1895" spans="1:23" s="247" customFormat="1" x14ac:dyDescent="0.25">
      <c r="A1895" s="228"/>
      <c r="B1895" s="283"/>
      <c r="C1895" s="284"/>
      <c r="D1895" s="283"/>
      <c r="E1895" s="284"/>
      <c r="F1895" s="284"/>
      <c r="G1895" s="285"/>
      <c r="H1895" s="285"/>
      <c r="I1895" s="285"/>
      <c r="J1895" s="286"/>
      <c r="K1895" s="285"/>
      <c r="L1895" s="285"/>
      <c r="M1895" s="285"/>
      <c r="N1895" s="283"/>
      <c r="O1895" s="287"/>
      <c r="P1895" s="288"/>
      <c r="Q1895" s="289"/>
      <c r="R1895" s="290"/>
      <c r="S1895" s="291"/>
      <c r="T1895" s="291"/>
      <c r="U1895" s="292"/>
      <c r="V1895" s="259"/>
      <c r="W1895" s="259"/>
    </row>
    <row r="1896" spans="1:23" s="247" customFormat="1" x14ac:dyDescent="0.25">
      <c r="A1896" s="228"/>
      <c r="B1896" s="283"/>
      <c r="C1896" s="284"/>
      <c r="D1896" s="283"/>
      <c r="E1896" s="284"/>
      <c r="F1896" s="284"/>
      <c r="G1896" s="285"/>
      <c r="H1896" s="285"/>
      <c r="I1896" s="285"/>
      <c r="J1896" s="286"/>
      <c r="K1896" s="285"/>
      <c r="L1896" s="285"/>
      <c r="M1896" s="285"/>
      <c r="N1896" s="283"/>
      <c r="O1896" s="287"/>
      <c r="P1896" s="288"/>
      <c r="Q1896" s="289"/>
      <c r="R1896" s="290"/>
      <c r="S1896" s="291"/>
      <c r="T1896" s="291"/>
      <c r="U1896" s="292"/>
      <c r="V1896" s="259"/>
      <c r="W1896" s="259"/>
    </row>
    <row r="1897" spans="1:23" s="247" customFormat="1" x14ac:dyDescent="0.25">
      <c r="A1897" s="228"/>
      <c r="B1897" s="283"/>
      <c r="C1897" s="284"/>
      <c r="D1897" s="283"/>
      <c r="E1897" s="284"/>
      <c r="F1897" s="284"/>
      <c r="G1897" s="285"/>
      <c r="H1897" s="285"/>
      <c r="I1897" s="285"/>
      <c r="J1897" s="286"/>
      <c r="K1897" s="285"/>
      <c r="L1897" s="285"/>
      <c r="M1897" s="285"/>
      <c r="N1897" s="283"/>
      <c r="O1897" s="287"/>
      <c r="P1897" s="288"/>
      <c r="Q1897" s="289"/>
      <c r="R1897" s="290"/>
      <c r="S1897" s="291"/>
      <c r="T1897" s="291"/>
      <c r="U1897" s="292"/>
      <c r="V1897" s="259"/>
      <c r="W1897" s="294"/>
    </row>
    <row r="1898" spans="1:23" s="247" customFormat="1" x14ac:dyDescent="0.25">
      <c r="A1898" s="228"/>
      <c r="B1898" s="283"/>
      <c r="C1898" s="284"/>
      <c r="D1898" s="283"/>
      <c r="E1898" s="284"/>
      <c r="F1898" s="284"/>
      <c r="G1898" s="285"/>
      <c r="H1898" s="285"/>
      <c r="I1898" s="285"/>
      <c r="J1898" s="286"/>
      <c r="K1898" s="285"/>
      <c r="L1898" s="285"/>
      <c r="M1898" s="285"/>
      <c r="N1898" s="283"/>
      <c r="O1898" s="287"/>
      <c r="P1898" s="288"/>
      <c r="Q1898" s="289"/>
      <c r="R1898" s="290"/>
      <c r="S1898" s="291"/>
      <c r="T1898" s="291"/>
      <c r="U1898" s="292"/>
      <c r="V1898" s="259"/>
      <c r="W1898" s="259"/>
    </row>
    <row r="1899" spans="1:23" s="247" customFormat="1" x14ac:dyDescent="0.25">
      <c r="A1899" s="228"/>
      <c r="B1899" s="283"/>
      <c r="C1899" s="284"/>
      <c r="D1899" s="283"/>
      <c r="E1899" s="284"/>
      <c r="F1899" s="284"/>
      <c r="G1899" s="285"/>
      <c r="H1899" s="285"/>
      <c r="I1899" s="285"/>
      <c r="J1899" s="286"/>
      <c r="K1899" s="285"/>
      <c r="L1899" s="285"/>
      <c r="M1899" s="285"/>
      <c r="N1899" s="283"/>
      <c r="O1899" s="287"/>
      <c r="P1899" s="288"/>
      <c r="Q1899" s="289"/>
      <c r="R1899" s="290"/>
      <c r="S1899" s="291"/>
      <c r="T1899" s="291"/>
      <c r="U1899" s="292"/>
      <c r="V1899" s="259"/>
      <c r="W1899" s="259"/>
    </row>
    <row r="1900" spans="1:23" s="247" customFormat="1" x14ac:dyDescent="0.25">
      <c r="A1900" s="228"/>
      <c r="B1900" s="283"/>
      <c r="C1900" s="284"/>
      <c r="D1900" s="283"/>
      <c r="E1900" s="284"/>
      <c r="F1900" s="284"/>
      <c r="G1900" s="285"/>
      <c r="H1900" s="285"/>
      <c r="I1900" s="285"/>
      <c r="J1900" s="286"/>
      <c r="K1900" s="285"/>
      <c r="L1900" s="285"/>
      <c r="M1900" s="285"/>
      <c r="N1900" s="283"/>
      <c r="O1900" s="287"/>
      <c r="P1900" s="288"/>
      <c r="Q1900" s="289"/>
      <c r="R1900" s="290"/>
      <c r="S1900" s="291"/>
      <c r="T1900" s="291"/>
      <c r="U1900" s="292"/>
      <c r="V1900" s="259"/>
      <c r="W1900" s="259"/>
    </row>
    <row r="1901" spans="1:23" s="247" customFormat="1" x14ac:dyDescent="0.25">
      <c r="A1901" s="228"/>
      <c r="B1901" s="283"/>
      <c r="C1901" s="284"/>
      <c r="D1901" s="283"/>
      <c r="E1901" s="284"/>
      <c r="F1901" s="284"/>
      <c r="G1901" s="285"/>
      <c r="H1901" s="285"/>
      <c r="I1901" s="285"/>
      <c r="J1901" s="286"/>
      <c r="K1901" s="285"/>
      <c r="L1901" s="285"/>
      <c r="M1901" s="285"/>
      <c r="N1901" s="283"/>
      <c r="O1901" s="287"/>
      <c r="P1901" s="288"/>
      <c r="Q1901" s="289"/>
      <c r="R1901" s="290"/>
      <c r="S1901" s="291"/>
      <c r="T1901" s="291"/>
      <c r="U1901" s="292"/>
      <c r="V1901" s="259"/>
      <c r="W1901" s="259"/>
    </row>
    <row r="1902" spans="1:23" s="247" customFormat="1" x14ac:dyDescent="0.25">
      <c r="A1902" s="228"/>
      <c r="B1902" s="283"/>
      <c r="C1902" s="284"/>
      <c r="D1902" s="283"/>
      <c r="E1902" s="284"/>
      <c r="F1902" s="284"/>
      <c r="G1902" s="285"/>
      <c r="H1902" s="285"/>
      <c r="I1902" s="285"/>
      <c r="J1902" s="286"/>
      <c r="K1902" s="285"/>
      <c r="L1902" s="285"/>
      <c r="M1902" s="285"/>
      <c r="N1902" s="283"/>
      <c r="O1902" s="287"/>
      <c r="P1902" s="288"/>
      <c r="Q1902" s="289"/>
      <c r="R1902" s="290"/>
      <c r="S1902" s="291"/>
      <c r="T1902" s="291"/>
      <c r="U1902" s="292"/>
      <c r="V1902" s="259"/>
      <c r="W1902" s="268"/>
    </row>
    <row r="1903" spans="1:23" s="247" customFormat="1" x14ac:dyDescent="0.25">
      <c r="A1903" s="228"/>
      <c r="B1903" s="283"/>
      <c r="C1903" s="284"/>
      <c r="D1903" s="283"/>
      <c r="E1903" s="284"/>
      <c r="F1903" s="284"/>
      <c r="G1903" s="285"/>
      <c r="H1903" s="285"/>
      <c r="I1903" s="285"/>
      <c r="J1903" s="286"/>
      <c r="K1903" s="285"/>
      <c r="L1903" s="285"/>
      <c r="M1903" s="285"/>
      <c r="N1903" s="283"/>
      <c r="O1903" s="287"/>
      <c r="P1903" s="288"/>
      <c r="Q1903" s="289"/>
      <c r="R1903" s="290"/>
      <c r="S1903" s="291"/>
      <c r="T1903" s="291"/>
      <c r="U1903" s="292"/>
      <c r="V1903" s="259"/>
      <c r="W1903" s="259"/>
    </row>
    <row r="1904" spans="1:23" s="247" customFormat="1" x14ac:dyDescent="0.25">
      <c r="A1904" s="228"/>
      <c r="B1904" s="283"/>
      <c r="C1904" s="284"/>
      <c r="D1904" s="283"/>
      <c r="E1904" s="284"/>
      <c r="F1904" s="284"/>
      <c r="G1904" s="285"/>
      <c r="H1904" s="285"/>
      <c r="I1904" s="285"/>
      <c r="J1904" s="286"/>
      <c r="K1904" s="285"/>
      <c r="L1904" s="285"/>
      <c r="M1904" s="285"/>
      <c r="N1904" s="283"/>
      <c r="O1904" s="287"/>
      <c r="P1904" s="288"/>
      <c r="Q1904" s="289"/>
      <c r="R1904" s="290"/>
      <c r="S1904" s="291"/>
      <c r="T1904" s="291"/>
      <c r="U1904" s="292"/>
      <c r="V1904" s="259"/>
      <c r="W1904" s="259"/>
    </row>
    <row r="1905" spans="1:23" s="247" customFormat="1" x14ac:dyDescent="0.25">
      <c r="A1905" s="228"/>
      <c r="B1905" s="283"/>
      <c r="C1905" s="284"/>
      <c r="D1905" s="283"/>
      <c r="E1905" s="284"/>
      <c r="F1905" s="284"/>
      <c r="G1905" s="285"/>
      <c r="H1905" s="285"/>
      <c r="I1905" s="285"/>
      <c r="J1905" s="286"/>
      <c r="K1905" s="285"/>
      <c r="L1905" s="285"/>
      <c r="M1905" s="285"/>
      <c r="N1905" s="283"/>
      <c r="O1905" s="287"/>
      <c r="P1905" s="288"/>
      <c r="Q1905" s="289"/>
      <c r="R1905" s="290"/>
      <c r="S1905" s="291"/>
      <c r="T1905" s="291"/>
      <c r="U1905" s="292"/>
      <c r="V1905" s="259"/>
      <c r="W1905" s="259"/>
    </row>
    <row r="1906" spans="1:23" s="247" customFormat="1" x14ac:dyDescent="0.25">
      <c r="A1906" s="232"/>
      <c r="B1906" s="283"/>
      <c r="C1906" s="284"/>
      <c r="D1906" s="283"/>
      <c r="E1906" s="284"/>
      <c r="F1906" s="284"/>
      <c r="G1906" s="285"/>
      <c r="H1906" s="285"/>
      <c r="I1906" s="285"/>
      <c r="J1906" s="286"/>
      <c r="K1906" s="285"/>
      <c r="L1906" s="285"/>
      <c r="M1906" s="285"/>
      <c r="N1906" s="283"/>
      <c r="O1906" s="287"/>
      <c r="P1906" s="288"/>
      <c r="Q1906" s="289"/>
      <c r="R1906" s="290"/>
      <c r="S1906" s="291"/>
      <c r="T1906" s="291"/>
      <c r="U1906" s="292"/>
      <c r="V1906" s="259"/>
      <c r="W1906" s="259"/>
    </row>
    <row r="1907" spans="1:23" s="247" customFormat="1" x14ac:dyDescent="0.25">
      <c r="A1907" s="232"/>
      <c r="B1907" s="283"/>
      <c r="C1907" s="284"/>
      <c r="D1907" s="283"/>
      <c r="E1907" s="284"/>
      <c r="F1907" s="284"/>
      <c r="G1907" s="285"/>
      <c r="H1907" s="285"/>
      <c r="I1907" s="285"/>
      <c r="J1907" s="286"/>
      <c r="K1907" s="285"/>
      <c r="L1907" s="285"/>
      <c r="M1907" s="285"/>
      <c r="N1907" s="283"/>
      <c r="O1907" s="287"/>
      <c r="P1907" s="288"/>
      <c r="Q1907" s="289"/>
      <c r="R1907" s="290"/>
      <c r="S1907" s="291"/>
      <c r="T1907" s="291"/>
      <c r="U1907" s="292"/>
      <c r="V1907" s="259"/>
      <c r="W1907" s="259"/>
    </row>
    <row r="1908" spans="1:23" s="247" customFormat="1" x14ac:dyDescent="0.25">
      <c r="A1908" s="232"/>
      <c r="B1908" s="283"/>
      <c r="C1908" s="284"/>
      <c r="D1908" s="283"/>
      <c r="E1908" s="284"/>
      <c r="F1908" s="284"/>
      <c r="G1908" s="285"/>
      <c r="H1908" s="285"/>
      <c r="I1908" s="285"/>
      <c r="J1908" s="286"/>
      <c r="K1908" s="285"/>
      <c r="L1908" s="285"/>
      <c r="M1908" s="285"/>
      <c r="N1908" s="283"/>
      <c r="O1908" s="287"/>
      <c r="P1908" s="288"/>
      <c r="Q1908" s="289"/>
      <c r="R1908" s="290"/>
      <c r="S1908" s="291"/>
      <c r="T1908" s="291"/>
      <c r="U1908" s="292"/>
      <c r="V1908" s="259"/>
      <c r="W1908" s="259"/>
    </row>
    <row r="1909" spans="1:23" s="247" customFormat="1" x14ac:dyDescent="0.25">
      <c r="A1909" s="232"/>
      <c r="B1909" s="283"/>
      <c r="C1909" s="284"/>
      <c r="D1909" s="283"/>
      <c r="E1909" s="284"/>
      <c r="F1909" s="284"/>
      <c r="G1909" s="285"/>
      <c r="H1909" s="285"/>
      <c r="I1909" s="285"/>
      <c r="J1909" s="286"/>
      <c r="K1909" s="285"/>
      <c r="L1909" s="285"/>
      <c r="M1909" s="285"/>
      <c r="N1909" s="283"/>
      <c r="O1909" s="287"/>
      <c r="P1909" s="288"/>
      <c r="Q1909" s="289"/>
      <c r="R1909" s="290"/>
      <c r="S1909" s="291"/>
      <c r="T1909" s="291"/>
      <c r="U1909" s="292"/>
      <c r="V1909" s="259"/>
      <c r="W1909" s="259"/>
    </row>
    <row r="1910" spans="1:23" s="247" customFormat="1" x14ac:dyDescent="0.25">
      <c r="A1910" s="232"/>
      <c r="B1910" s="283"/>
      <c r="C1910" s="284"/>
      <c r="D1910" s="283"/>
      <c r="E1910" s="284"/>
      <c r="F1910" s="284"/>
      <c r="G1910" s="285"/>
      <c r="H1910" s="285"/>
      <c r="I1910" s="285"/>
      <c r="J1910" s="286"/>
      <c r="K1910" s="285"/>
      <c r="L1910" s="285"/>
      <c r="M1910" s="285"/>
      <c r="N1910" s="283"/>
      <c r="O1910" s="287"/>
      <c r="P1910" s="288"/>
      <c r="Q1910" s="289"/>
      <c r="R1910" s="290"/>
      <c r="S1910" s="291"/>
      <c r="T1910" s="291"/>
      <c r="U1910" s="292"/>
      <c r="V1910" s="259"/>
      <c r="W1910" s="259"/>
    </row>
    <row r="1911" spans="1:23" s="247" customFormat="1" x14ac:dyDescent="0.25">
      <c r="A1911" s="232"/>
      <c r="B1911" s="283"/>
      <c r="C1911" s="284"/>
      <c r="D1911" s="283"/>
      <c r="E1911" s="284"/>
      <c r="F1911" s="284"/>
      <c r="G1911" s="285"/>
      <c r="H1911" s="285"/>
      <c r="I1911" s="285"/>
      <c r="J1911" s="286"/>
      <c r="K1911" s="285"/>
      <c r="L1911" s="285"/>
      <c r="M1911" s="285"/>
      <c r="N1911" s="283"/>
      <c r="O1911" s="287"/>
      <c r="P1911" s="288"/>
      <c r="Q1911" s="289"/>
      <c r="R1911" s="290"/>
      <c r="S1911" s="291"/>
      <c r="T1911" s="291"/>
      <c r="U1911" s="292"/>
      <c r="V1911" s="259"/>
      <c r="W1911" s="259"/>
    </row>
    <row r="1912" spans="1:23" s="247" customFormat="1" x14ac:dyDescent="0.25">
      <c r="A1912" s="232"/>
      <c r="B1912" s="283"/>
      <c r="C1912" s="284"/>
      <c r="D1912" s="283"/>
      <c r="E1912" s="284"/>
      <c r="F1912" s="284"/>
      <c r="G1912" s="285"/>
      <c r="H1912" s="285"/>
      <c r="I1912" s="285"/>
      <c r="J1912" s="286"/>
      <c r="K1912" s="285"/>
      <c r="L1912" s="285"/>
      <c r="M1912" s="285"/>
      <c r="N1912" s="283"/>
      <c r="O1912" s="287"/>
      <c r="P1912" s="288"/>
      <c r="Q1912" s="289"/>
      <c r="R1912" s="290"/>
      <c r="S1912" s="291"/>
      <c r="T1912" s="291"/>
      <c r="U1912" s="292"/>
      <c r="V1912" s="259"/>
      <c r="W1912" s="259"/>
    </row>
    <row r="1913" spans="1:23" s="247" customFormat="1" x14ac:dyDescent="0.25">
      <c r="A1913" s="232"/>
      <c r="B1913" s="283"/>
      <c r="C1913" s="284"/>
      <c r="D1913" s="283"/>
      <c r="E1913" s="284"/>
      <c r="F1913" s="284"/>
      <c r="G1913" s="285"/>
      <c r="H1913" s="285"/>
      <c r="I1913" s="285"/>
      <c r="J1913" s="286"/>
      <c r="K1913" s="285"/>
      <c r="L1913" s="285"/>
      <c r="M1913" s="285"/>
      <c r="N1913" s="283"/>
      <c r="O1913" s="287"/>
      <c r="P1913" s="288"/>
      <c r="Q1913" s="289"/>
      <c r="R1913" s="290"/>
      <c r="S1913" s="291"/>
      <c r="T1913" s="291"/>
      <c r="U1913" s="292"/>
      <c r="V1913" s="259"/>
      <c r="W1913" s="259"/>
    </row>
    <row r="1914" spans="1:23" s="247" customFormat="1" x14ac:dyDescent="0.25">
      <c r="A1914" s="232"/>
      <c r="B1914" s="283"/>
      <c r="C1914" s="284"/>
      <c r="D1914" s="283"/>
      <c r="E1914" s="284"/>
      <c r="F1914" s="284"/>
      <c r="G1914" s="285"/>
      <c r="H1914" s="285"/>
      <c r="I1914" s="285"/>
      <c r="J1914" s="286"/>
      <c r="K1914" s="285"/>
      <c r="L1914" s="285"/>
      <c r="M1914" s="285"/>
      <c r="N1914" s="283"/>
      <c r="O1914" s="287"/>
      <c r="P1914" s="288"/>
      <c r="Q1914" s="289"/>
      <c r="R1914" s="290"/>
      <c r="S1914" s="291"/>
      <c r="T1914" s="291"/>
      <c r="U1914" s="292"/>
      <c r="V1914" s="259"/>
      <c r="W1914" s="259"/>
    </row>
    <row r="1915" spans="1:23" s="247" customFormat="1" x14ac:dyDescent="0.25">
      <c r="A1915" s="232"/>
      <c r="B1915" s="283"/>
      <c r="C1915" s="284"/>
      <c r="D1915" s="283"/>
      <c r="E1915" s="284"/>
      <c r="F1915" s="284"/>
      <c r="G1915" s="285"/>
      <c r="H1915" s="285"/>
      <c r="I1915" s="285"/>
      <c r="J1915" s="286"/>
      <c r="K1915" s="285"/>
      <c r="L1915" s="285"/>
      <c r="M1915" s="285"/>
      <c r="N1915" s="283"/>
      <c r="O1915" s="287"/>
      <c r="P1915" s="288"/>
      <c r="Q1915" s="289"/>
      <c r="R1915" s="290"/>
      <c r="S1915" s="291"/>
      <c r="T1915" s="291"/>
      <c r="U1915" s="292"/>
      <c r="V1915" s="259"/>
      <c r="W1915" s="259"/>
    </row>
    <row r="1916" spans="1:23" s="247" customFormat="1" x14ac:dyDescent="0.25">
      <c r="A1916" s="232"/>
      <c r="B1916" s="283"/>
      <c r="C1916" s="284"/>
      <c r="D1916" s="283"/>
      <c r="E1916" s="284"/>
      <c r="F1916" s="284"/>
      <c r="G1916" s="285"/>
      <c r="H1916" s="285"/>
      <c r="I1916" s="285"/>
      <c r="J1916" s="286"/>
      <c r="K1916" s="285"/>
      <c r="L1916" s="285"/>
      <c r="M1916" s="285"/>
      <c r="N1916" s="283"/>
      <c r="O1916" s="287"/>
      <c r="P1916" s="288"/>
      <c r="Q1916" s="289"/>
      <c r="R1916" s="290"/>
      <c r="S1916" s="291"/>
      <c r="T1916" s="291"/>
      <c r="U1916" s="292"/>
      <c r="V1916" s="259"/>
      <c r="W1916" s="259"/>
    </row>
    <row r="1917" spans="1:23" s="247" customFormat="1" x14ac:dyDescent="0.25">
      <c r="A1917" s="232"/>
      <c r="B1917" s="283"/>
      <c r="C1917" s="284"/>
      <c r="D1917" s="283"/>
      <c r="E1917" s="284"/>
      <c r="F1917" s="284"/>
      <c r="G1917" s="285"/>
      <c r="H1917" s="285"/>
      <c r="I1917" s="285"/>
      <c r="J1917" s="286"/>
      <c r="K1917" s="285"/>
      <c r="L1917" s="285"/>
      <c r="M1917" s="285"/>
      <c r="N1917" s="283"/>
      <c r="O1917" s="287"/>
      <c r="P1917" s="288"/>
      <c r="Q1917" s="289"/>
      <c r="R1917" s="290"/>
      <c r="S1917" s="291"/>
      <c r="T1917" s="291"/>
      <c r="U1917" s="292"/>
      <c r="V1917" s="259"/>
      <c r="W1917" s="259"/>
    </row>
    <row r="1918" spans="1:23" s="247" customFormat="1" x14ac:dyDescent="0.25">
      <c r="A1918" s="232"/>
      <c r="B1918" s="283"/>
      <c r="C1918" s="284"/>
      <c r="D1918" s="283"/>
      <c r="E1918" s="284"/>
      <c r="F1918" s="284"/>
      <c r="G1918" s="285"/>
      <c r="H1918" s="285"/>
      <c r="I1918" s="285"/>
      <c r="J1918" s="286"/>
      <c r="K1918" s="285"/>
      <c r="L1918" s="285"/>
      <c r="M1918" s="285"/>
      <c r="N1918" s="283"/>
      <c r="O1918" s="287"/>
      <c r="P1918" s="288"/>
      <c r="Q1918" s="289"/>
      <c r="R1918" s="290"/>
      <c r="S1918" s="291"/>
      <c r="T1918" s="291"/>
      <c r="U1918" s="292"/>
      <c r="V1918" s="259"/>
      <c r="W1918" s="259"/>
    </row>
    <row r="1919" spans="1:23" s="247" customFormat="1" x14ac:dyDescent="0.25">
      <c r="A1919" s="232"/>
      <c r="B1919" s="283"/>
      <c r="C1919" s="284"/>
      <c r="D1919" s="283"/>
      <c r="E1919" s="284"/>
      <c r="F1919" s="284"/>
      <c r="G1919" s="285"/>
      <c r="H1919" s="285"/>
      <c r="I1919" s="285"/>
      <c r="J1919" s="286"/>
      <c r="K1919" s="285"/>
      <c r="L1919" s="285"/>
      <c r="M1919" s="285"/>
      <c r="N1919" s="283"/>
      <c r="O1919" s="287"/>
      <c r="P1919" s="288"/>
      <c r="Q1919" s="289"/>
      <c r="R1919" s="290"/>
      <c r="S1919" s="291"/>
      <c r="T1919" s="291"/>
      <c r="U1919" s="292"/>
      <c r="V1919" s="259"/>
      <c r="W1919" s="259"/>
    </row>
    <row r="1920" spans="1:23" s="247" customFormat="1" x14ac:dyDescent="0.25">
      <c r="A1920" s="232"/>
      <c r="B1920" s="283"/>
      <c r="C1920" s="284"/>
      <c r="D1920" s="283"/>
      <c r="E1920" s="284"/>
      <c r="F1920" s="284"/>
      <c r="G1920" s="285"/>
      <c r="H1920" s="285"/>
      <c r="I1920" s="285"/>
      <c r="J1920" s="286"/>
      <c r="K1920" s="285"/>
      <c r="L1920" s="285"/>
      <c r="M1920" s="285"/>
      <c r="N1920" s="283"/>
      <c r="O1920" s="287"/>
      <c r="P1920" s="288"/>
      <c r="Q1920" s="289"/>
      <c r="R1920" s="290"/>
      <c r="S1920" s="291"/>
      <c r="T1920" s="291"/>
      <c r="U1920" s="292"/>
      <c r="V1920" s="259"/>
      <c r="W1920" s="259"/>
    </row>
    <row r="1921" spans="1:23" s="247" customFormat="1" x14ac:dyDescent="0.25">
      <c r="A1921" s="232"/>
      <c r="B1921" s="283"/>
      <c r="C1921" s="284"/>
      <c r="D1921" s="283"/>
      <c r="E1921" s="284"/>
      <c r="F1921" s="284"/>
      <c r="G1921" s="285"/>
      <c r="H1921" s="285"/>
      <c r="I1921" s="285"/>
      <c r="J1921" s="286"/>
      <c r="K1921" s="285"/>
      <c r="L1921" s="285"/>
      <c r="M1921" s="285"/>
      <c r="N1921" s="283"/>
      <c r="O1921" s="287"/>
      <c r="P1921" s="288"/>
      <c r="Q1921" s="289"/>
      <c r="R1921" s="290"/>
      <c r="S1921" s="291"/>
      <c r="T1921" s="291"/>
      <c r="U1921" s="292"/>
      <c r="V1921" s="259"/>
      <c r="W1921" s="259"/>
    </row>
    <row r="1922" spans="1:23" x14ac:dyDescent="0.25">
      <c r="A1922" s="233"/>
      <c r="B1922" s="151"/>
      <c r="C1922" s="150"/>
      <c r="D1922" s="151"/>
      <c r="E1922" s="150"/>
      <c r="F1922" s="150"/>
      <c r="G1922" s="152"/>
      <c r="H1922" s="152"/>
      <c r="I1922" s="152"/>
      <c r="J1922" s="151"/>
      <c r="K1922" s="153"/>
      <c r="L1922" s="152"/>
      <c r="M1922" s="152"/>
      <c r="N1922" s="151"/>
      <c r="O1922" s="154"/>
      <c r="P1922" s="155"/>
      <c r="Q1922" s="154"/>
      <c r="R1922" s="156"/>
      <c r="S1922" s="156"/>
      <c r="T1922" s="156"/>
      <c r="U1922" s="157"/>
    </row>
    <row r="1923" spans="1:23" s="247" customFormat="1" x14ac:dyDescent="0.25">
      <c r="A1923" s="232"/>
      <c r="B1923" s="283"/>
      <c r="C1923" s="284"/>
      <c r="D1923" s="283"/>
      <c r="E1923" s="284"/>
      <c r="F1923" s="284"/>
      <c r="G1923" s="285"/>
      <c r="H1923" s="285"/>
      <c r="I1923" s="285"/>
      <c r="J1923" s="286"/>
      <c r="K1923" s="285"/>
      <c r="L1923" s="285"/>
      <c r="M1923" s="285"/>
      <c r="N1923" s="283"/>
      <c r="O1923" s="287"/>
      <c r="P1923" s="288"/>
      <c r="Q1923" s="289"/>
      <c r="R1923" s="290"/>
      <c r="S1923" s="291"/>
      <c r="T1923" s="291"/>
      <c r="U1923" s="292"/>
      <c r="V1923" s="259"/>
      <c r="W1923" s="259"/>
    </row>
    <row r="1924" spans="1:23" s="247" customFormat="1" x14ac:dyDescent="0.25">
      <c r="A1924" s="232"/>
      <c r="B1924" s="283"/>
      <c r="C1924" s="284"/>
      <c r="D1924" s="283"/>
      <c r="E1924" s="284"/>
      <c r="F1924" s="284"/>
      <c r="G1924" s="285"/>
      <c r="H1924" s="285"/>
      <c r="I1924" s="285"/>
      <c r="J1924" s="286"/>
      <c r="K1924" s="285"/>
      <c r="L1924" s="285"/>
      <c r="M1924" s="285"/>
      <c r="N1924" s="283"/>
      <c r="O1924" s="287"/>
      <c r="P1924" s="288"/>
      <c r="Q1924" s="289"/>
      <c r="R1924" s="290"/>
      <c r="S1924" s="291"/>
      <c r="T1924" s="291"/>
      <c r="U1924" s="292"/>
      <c r="V1924" s="259"/>
      <c r="W1924" s="259"/>
    </row>
    <row r="1925" spans="1:23" s="247" customFormat="1" x14ac:dyDescent="0.25">
      <c r="A1925" s="232"/>
      <c r="B1925" s="283"/>
      <c r="C1925" s="284"/>
      <c r="D1925" s="283"/>
      <c r="E1925" s="284"/>
      <c r="F1925" s="284"/>
      <c r="G1925" s="285"/>
      <c r="H1925" s="285"/>
      <c r="I1925" s="285"/>
      <c r="J1925" s="286"/>
      <c r="K1925" s="285"/>
      <c r="L1925" s="285"/>
      <c r="M1925" s="285"/>
      <c r="N1925" s="283"/>
      <c r="O1925" s="287"/>
      <c r="P1925" s="288"/>
      <c r="Q1925" s="289"/>
      <c r="R1925" s="290"/>
      <c r="S1925" s="291"/>
      <c r="T1925" s="291"/>
      <c r="U1925" s="292"/>
      <c r="V1925" s="259"/>
      <c r="W1925" s="259"/>
    </row>
    <row r="1926" spans="1:23" s="247" customFormat="1" x14ac:dyDescent="0.25">
      <c r="A1926" s="232"/>
      <c r="B1926" s="283"/>
      <c r="C1926" s="284"/>
      <c r="D1926" s="283"/>
      <c r="E1926" s="284"/>
      <c r="F1926" s="284"/>
      <c r="G1926" s="285"/>
      <c r="H1926" s="285"/>
      <c r="I1926" s="285"/>
      <c r="J1926" s="286"/>
      <c r="K1926" s="285"/>
      <c r="L1926" s="285"/>
      <c r="M1926" s="285"/>
      <c r="N1926" s="283"/>
      <c r="O1926" s="287"/>
      <c r="P1926" s="288"/>
      <c r="Q1926" s="289"/>
      <c r="R1926" s="290"/>
      <c r="S1926" s="291"/>
      <c r="T1926" s="291"/>
      <c r="U1926" s="292"/>
      <c r="V1926" s="259"/>
      <c r="W1926" s="259"/>
    </row>
    <row r="1927" spans="1:23" s="247" customFormat="1" x14ac:dyDescent="0.25">
      <c r="A1927" s="232"/>
      <c r="B1927" s="283"/>
      <c r="C1927" s="284"/>
      <c r="D1927" s="283"/>
      <c r="E1927" s="284"/>
      <c r="F1927" s="284"/>
      <c r="G1927" s="285"/>
      <c r="H1927" s="285"/>
      <c r="I1927" s="285"/>
      <c r="J1927" s="286"/>
      <c r="K1927" s="285"/>
      <c r="L1927" s="285"/>
      <c r="M1927" s="285"/>
      <c r="N1927" s="283"/>
      <c r="O1927" s="287"/>
      <c r="P1927" s="288"/>
      <c r="Q1927" s="289"/>
      <c r="R1927" s="290"/>
      <c r="S1927" s="291"/>
      <c r="T1927" s="291"/>
      <c r="U1927" s="292"/>
      <c r="V1927" s="259"/>
      <c r="W1927" s="259"/>
    </row>
    <row r="1928" spans="1:23" s="247" customFormat="1" x14ac:dyDescent="0.25">
      <c r="A1928" s="232"/>
      <c r="B1928" s="283"/>
      <c r="C1928" s="284"/>
      <c r="D1928" s="283"/>
      <c r="E1928" s="284"/>
      <c r="F1928" s="284"/>
      <c r="G1928" s="285"/>
      <c r="H1928" s="285"/>
      <c r="I1928" s="285"/>
      <c r="J1928" s="286"/>
      <c r="K1928" s="285"/>
      <c r="L1928" s="285"/>
      <c r="M1928" s="285"/>
      <c r="N1928" s="283"/>
      <c r="O1928" s="287"/>
      <c r="P1928" s="288"/>
      <c r="Q1928" s="289"/>
      <c r="R1928" s="290"/>
      <c r="S1928" s="291"/>
      <c r="T1928" s="291"/>
      <c r="U1928" s="292"/>
      <c r="V1928" s="259"/>
      <c r="W1928" s="259"/>
    </row>
    <row r="1929" spans="1:23" s="247" customFormat="1" x14ac:dyDescent="0.25">
      <c r="A1929" s="232"/>
      <c r="B1929" s="283"/>
      <c r="C1929" s="284"/>
      <c r="D1929" s="283"/>
      <c r="E1929" s="284"/>
      <c r="F1929" s="284"/>
      <c r="G1929" s="285"/>
      <c r="H1929" s="285"/>
      <c r="I1929" s="285"/>
      <c r="J1929" s="286"/>
      <c r="K1929" s="285"/>
      <c r="L1929" s="285"/>
      <c r="M1929" s="285"/>
      <c r="N1929" s="283"/>
      <c r="O1929" s="287"/>
      <c r="P1929" s="288"/>
      <c r="Q1929" s="289"/>
      <c r="R1929" s="290"/>
      <c r="S1929" s="291"/>
      <c r="T1929" s="291"/>
      <c r="U1929" s="292"/>
      <c r="V1929" s="259"/>
      <c r="W1929" s="259"/>
    </row>
    <row r="1930" spans="1:23" s="247" customFormat="1" x14ac:dyDescent="0.25">
      <c r="A1930" s="232"/>
      <c r="B1930" s="283"/>
      <c r="C1930" s="284"/>
      <c r="D1930" s="283"/>
      <c r="E1930" s="284"/>
      <c r="F1930" s="284"/>
      <c r="G1930" s="285"/>
      <c r="H1930" s="285"/>
      <c r="I1930" s="285"/>
      <c r="J1930" s="286"/>
      <c r="K1930" s="285"/>
      <c r="L1930" s="285"/>
      <c r="M1930" s="285"/>
      <c r="N1930" s="283"/>
      <c r="O1930" s="287"/>
      <c r="P1930" s="288"/>
      <c r="Q1930" s="289"/>
      <c r="R1930" s="290"/>
      <c r="S1930" s="291"/>
      <c r="T1930" s="291"/>
      <c r="U1930" s="292"/>
      <c r="V1930" s="259"/>
      <c r="W1930" s="259"/>
    </row>
    <row r="1931" spans="1:23" s="247" customFormat="1" x14ac:dyDescent="0.25">
      <c r="A1931" s="232"/>
      <c r="B1931" s="283"/>
      <c r="C1931" s="284"/>
      <c r="D1931" s="283"/>
      <c r="E1931" s="284"/>
      <c r="F1931" s="284"/>
      <c r="G1931" s="285"/>
      <c r="H1931" s="285"/>
      <c r="I1931" s="285"/>
      <c r="J1931" s="286"/>
      <c r="K1931" s="285"/>
      <c r="L1931" s="285"/>
      <c r="M1931" s="285"/>
      <c r="N1931" s="283"/>
      <c r="O1931" s="287"/>
      <c r="P1931" s="288"/>
      <c r="Q1931" s="289"/>
      <c r="R1931" s="290"/>
      <c r="S1931" s="291"/>
      <c r="T1931" s="291"/>
      <c r="U1931" s="292"/>
      <c r="V1931" s="259"/>
      <c r="W1931" s="259"/>
    </row>
    <row r="1932" spans="1:23" s="247" customFormat="1" x14ac:dyDescent="0.25">
      <c r="A1932" s="232"/>
      <c r="B1932" s="283"/>
      <c r="C1932" s="284"/>
      <c r="D1932" s="283"/>
      <c r="E1932" s="284"/>
      <c r="F1932" s="284"/>
      <c r="G1932" s="285"/>
      <c r="H1932" s="285"/>
      <c r="I1932" s="285"/>
      <c r="J1932" s="286"/>
      <c r="K1932" s="285"/>
      <c r="L1932" s="285"/>
      <c r="M1932" s="285"/>
      <c r="N1932" s="283"/>
      <c r="O1932" s="287"/>
      <c r="P1932" s="288"/>
      <c r="Q1932" s="289"/>
      <c r="R1932" s="290"/>
      <c r="S1932" s="291"/>
      <c r="T1932" s="291"/>
      <c r="U1932" s="292"/>
      <c r="V1932" s="259"/>
      <c r="W1932" s="259"/>
    </row>
    <row r="1933" spans="1:23" s="247" customFormat="1" x14ac:dyDescent="0.25">
      <c r="A1933" s="232"/>
      <c r="B1933" s="283"/>
      <c r="C1933" s="284"/>
      <c r="D1933" s="283"/>
      <c r="E1933" s="284"/>
      <c r="F1933" s="284"/>
      <c r="G1933" s="285"/>
      <c r="H1933" s="285"/>
      <c r="I1933" s="285"/>
      <c r="J1933" s="286"/>
      <c r="K1933" s="285"/>
      <c r="L1933" s="285"/>
      <c r="M1933" s="285"/>
      <c r="N1933" s="283"/>
      <c r="O1933" s="287"/>
      <c r="P1933" s="288"/>
      <c r="Q1933" s="289"/>
      <c r="R1933" s="290"/>
      <c r="S1933" s="291"/>
      <c r="T1933" s="291"/>
      <c r="U1933" s="292"/>
      <c r="V1933" s="259"/>
      <c r="W1933" s="259"/>
    </row>
    <row r="1934" spans="1:23" s="247" customFormat="1" x14ac:dyDescent="0.25">
      <c r="A1934" s="232"/>
      <c r="B1934" s="283"/>
      <c r="C1934" s="284"/>
      <c r="D1934" s="283"/>
      <c r="E1934" s="284"/>
      <c r="F1934" s="284"/>
      <c r="G1934" s="285"/>
      <c r="H1934" s="285"/>
      <c r="I1934" s="285"/>
      <c r="J1934" s="286"/>
      <c r="K1934" s="285"/>
      <c r="L1934" s="285"/>
      <c r="M1934" s="285"/>
      <c r="N1934" s="283"/>
      <c r="O1934" s="287"/>
      <c r="P1934" s="288"/>
      <c r="Q1934" s="289"/>
      <c r="R1934" s="290"/>
      <c r="S1934" s="291"/>
      <c r="T1934" s="291"/>
      <c r="U1934" s="292"/>
      <c r="V1934" s="259"/>
      <c r="W1934" s="259"/>
    </row>
    <row r="1935" spans="1:23" s="247" customFormat="1" x14ac:dyDescent="0.25">
      <c r="A1935" s="232"/>
      <c r="B1935" s="283"/>
      <c r="C1935" s="284"/>
      <c r="D1935" s="283"/>
      <c r="E1935" s="284"/>
      <c r="F1935" s="284"/>
      <c r="G1935" s="285"/>
      <c r="H1935" s="285"/>
      <c r="I1935" s="285"/>
      <c r="J1935" s="286"/>
      <c r="K1935" s="285"/>
      <c r="L1935" s="285"/>
      <c r="M1935" s="285"/>
      <c r="N1935" s="283"/>
      <c r="O1935" s="287"/>
      <c r="P1935" s="288"/>
      <c r="Q1935" s="289"/>
      <c r="R1935" s="290"/>
      <c r="S1935" s="291"/>
      <c r="T1935" s="291"/>
      <c r="U1935" s="292"/>
      <c r="V1935" s="259"/>
      <c r="W1935" s="259"/>
    </row>
    <row r="1936" spans="1:23" s="247" customFormat="1" x14ac:dyDescent="0.25">
      <c r="A1936" s="232"/>
      <c r="B1936" s="283"/>
      <c r="C1936" s="284"/>
      <c r="D1936" s="283"/>
      <c r="E1936" s="284"/>
      <c r="F1936" s="284"/>
      <c r="G1936" s="285"/>
      <c r="H1936" s="285"/>
      <c r="I1936" s="285"/>
      <c r="J1936" s="286"/>
      <c r="K1936" s="285"/>
      <c r="L1936" s="285"/>
      <c r="M1936" s="285"/>
      <c r="N1936" s="283"/>
      <c r="O1936" s="287"/>
      <c r="P1936" s="288"/>
      <c r="Q1936" s="289"/>
      <c r="R1936" s="290"/>
      <c r="S1936" s="291"/>
      <c r="T1936" s="291"/>
      <c r="U1936" s="292"/>
      <c r="V1936" s="259"/>
      <c r="W1936" s="259"/>
    </row>
    <row r="1937" spans="1:24" s="247" customFormat="1" x14ac:dyDescent="0.25">
      <c r="A1937" s="232"/>
      <c r="B1937" s="283"/>
      <c r="C1937" s="284"/>
      <c r="D1937" s="283"/>
      <c r="E1937" s="284"/>
      <c r="F1937" s="284"/>
      <c r="G1937" s="285"/>
      <c r="H1937" s="285"/>
      <c r="I1937" s="285"/>
      <c r="J1937" s="286"/>
      <c r="K1937" s="285"/>
      <c r="L1937" s="285"/>
      <c r="M1937" s="285"/>
      <c r="N1937" s="283"/>
      <c r="O1937" s="287"/>
      <c r="P1937" s="288"/>
      <c r="Q1937" s="289"/>
      <c r="R1937" s="290"/>
      <c r="S1937" s="291"/>
      <c r="T1937" s="291"/>
      <c r="U1937" s="292"/>
      <c r="V1937" s="259"/>
      <c r="W1937" s="259"/>
    </row>
    <row r="1938" spans="1:24" s="247" customFormat="1" x14ac:dyDescent="0.25">
      <c r="A1938" s="232"/>
      <c r="B1938" s="283"/>
      <c r="C1938" s="284"/>
      <c r="D1938" s="283"/>
      <c r="E1938" s="284"/>
      <c r="F1938" s="284"/>
      <c r="G1938" s="285"/>
      <c r="H1938" s="285"/>
      <c r="I1938" s="285"/>
      <c r="J1938" s="286"/>
      <c r="K1938" s="285"/>
      <c r="L1938" s="285"/>
      <c r="M1938" s="285"/>
      <c r="N1938" s="283"/>
      <c r="O1938" s="287"/>
      <c r="P1938" s="288"/>
      <c r="Q1938" s="289"/>
      <c r="R1938" s="290"/>
      <c r="S1938" s="291"/>
      <c r="T1938" s="291"/>
      <c r="U1938" s="292"/>
      <c r="V1938" s="259"/>
      <c r="W1938" s="259"/>
    </row>
    <row r="1939" spans="1:24" s="247" customFormat="1" x14ac:dyDescent="0.25">
      <c r="A1939" s="232"/>
      <c r="B1939" s="283"/>
      <c r="C1939" s="284"/>
      <c r="D1939" s="283"/>
      <c r="E1939" s="284"/>
      <c r="F1939" s="284"/>
      <c r="G1939" s="285"/>
      <c r="H1939" s="285"/>
      <c r="I1939" s="285"/>
      <c r="J1939" s="286"/>
      <c r="K1939" s="285"/>
      <c r="L1939" s="285"/>
      <c r="M1939" s="285"/>
      <c r="N1939" s="283"/>
      <c r="O1939" s="287"/>
      <c r="P1939" s="288"/>
      <c r="Q1939" s="289"/>
      <c r="R1939" s="290"/>
      <c r="S1939" s="291"/>
      <c r="T1939" s="291"/>
      <c r="U1939" s="292"/>
      <c r="V1939" s="259"/>
      <c r="W1939" s="259"/>
    </row>
    <row r="1940" spans="1:24" s="247" customFormat="1" x14ac:dyDescent="0.25">
      <c r="A1940" s="232"/>
      <c r="B1940" s="283"/>
      <c r="C1940" s="284"/>
      <c r="D1940" s="283"/>
      <c r="E1940" s="284"/>
      <c r="F1940" s="284"/>
      <c r="G1940" s="285"/>
      <c r="H1940" s="285"/>
      <c r="I1940" s="285"/>
      <c r="J1940" s="286"/>
      <c r="K1940" s="285"/>
      <c r="L1940" s="285"/>
      <c r="M1940" s="285"/>
      <c r="N1940" s="283"/>
      <c r="O1940" s="287"/>
      <c r="P1940" s="288"/>
      <c r="Q1940" s="289"/>
      <c r="R1940" s="290"/>
      <c r="S1940" s="291"/>
      <c r="T1940" s="291"/>
      <c r="U1940" s="292"/>
      <c r="V1940" s="259"/>
      <c r="W1940" s="259"/>
    </row>
    <row r="1941" spans="1:24" s="247" customFormat="1" x14ac:dyDescent="0.25">
      <c r="A1941" s="232"/>
      <c r="B1941" s="283"/>
      <c r="C1941" s="284"/>
      <c r="D1941" s="283"/>
      <c r="E1941" s="284"/>
      <c r="F1941" s="284"/>
      <c r="G1941" s="285"/>
      <c r="H1941" s="285"/>
      <c r="I1941" s="285"/>
      <c r="J1941" s="286"/>
      <c r="K1941" s="285"/>
      <c r="L1941" s="285"/>
      <c r="M1941" s="285"/>
      <c r="N1941" s="283"/>
      <c r="O1941" s="287"/>
      <c r="P1941" s="288"/>
      <c r="Q1941" s="289"/>
      <c r="R1941" s="290"/>
      <c r="S1941" s="291"/>
      <c r="T1941" s="291"/>
      <c r="U1941" s="292"/>
      <c r="V1941" s="259"/>
      <c r="W1941" s="295"/>
    </row>
    <row r="1942" spans="1:24" s="247" customFormat="1" x14ac:dyDescent="0.25">
      <c r="A1942" s="232"/>
      <c r="B1942" s="283"/>
      <c r="C1942" s="284"/>
      <c r="D1942" s="283"/>
      <c r="E1942" s="284"/>
      <c r="F1942" s="284"/>
      <c r="G1942" s="285"/>
      <c r="H1942" s="285"/>
      <c r="I1942" s="285"/>
      <c r="J1942" s="286"/>
      <c r="K1942" s="285"/>
      <c r="L1942" s="285"/>
      <c r="M1942" s="285"/>
      <c r="N1942" s="283"/>
      <c r="O1942" s="287"/>
      <c r="P1942" s="288"/>
      <c r="Q1942" s="289"/>
      <c r="R1942" s="290"/>
      <c r="S1942" s="291"/>
      <c r="T1942" s="291"/>
      <c r="U1942" s="292"/>
      <c r="V1942" s="259"/>
      <c r="W1942" s="259"/>
    </row>
    <row r="1943" spans="1:24" s="247" customFormat="1" x14ac:dyDescent="0.25">
      <c r="A1943" s="232"/>
      <c r="B1943" s="283"/>
      <c r="C1943" s="284"/>
      <c r="D1943" s="283"/>
      <c r="E1943" s="284"/>
      <c r="F1943" s="284"/>
      <c r="G1943" s="285"/>
      <c r="H1943" s="285"/>
      <c r="I1943" s="285"/>
      <c r="J1943" s="286"/>
      <c r="K1943" s="285"/>
      <c r="L1943" s="285"/>
      <c r="M1943" s="285"/>
      <c r="N1943" s="283"/>
      <c r="O1943" s="287"/>
      <c r="P1943" s="288"/>
      <c r="Q1943" s="289"/>
      <c r="R1943" s="290"/>
      <c r="S1943" s="291"/>
      <c r="T1943" s="291"/>
      <c r="U1943" s="292"/>
      <c r="V1943" s="259"/>
      <c r="W1943" s="259"/>
    </row>
    <row r="1944" spans="1:24" s="247" customFormat="1" x14ac:dyDescent="0.25">
      <c r="A1944" s="232"/>
      <c r="B1944" s="283"/>
      <c r="C1944" s="284"/>
      <c r="D1944" s="283"/>
      <c r="E1944" s="284"/>
      <c r="F1944" s="284"/>
      <c r="G1944" s="285"/>
      <c r="H1944" s="285"/>
      <c r="I1944" s="285"/>
      <c r="J1944" s="286"/>
      <c r="K1944" s="285"/>
      <c r="L1944" s="285"/>
      <c r="M1944" s="285"/>
      <c r="N1944" s="283"/>
      <c r="O1944" s="287"/>
      <c r="P1944" s="288"/>
      <c r="Q1944" s="289"/>
      <c r="R1944" s="290"/>
      <c r="S1944" s="291"/>
      <c r="T1944" s="291"/>
      <c r="U1944" s="292"/>
      <c r="V1944" s="259"/>
      <c r="W1944" s="259"/>
    </row>
    <row r="1945" spans="1:24" s="247" customFormat="1" x14ac:dyDescent="0.25">
      <c r="A1945" s="232"/>
      <c r="B1945" s="283"/>
      <c r="C1945" s="284"/>
      <c r="D1945" s="283"/>
      <c r="E1945" s="284"/>
      <c r="F1945" s="284"/>
      <c r="G1945" s="285"/>
      <c r="H1945" s="285"/>
      <c r="I1945" s="285"/>
      <c r="J1945" s="286"/>
      <c r="K1945" s="285"/>
      <c r="L1945" s="285"/>
      <c r="M1945" s="285"/>
      <c r="N1945" s="283"/>
      <c r="O1945" s="287"/>
      <c r="P1945" s="288"/>
      <c r="Q1945" s="289"/>
      <c r="R1945" s="290"/>
      <c r="S1945" s="291"/>
      <c r="T1945" s="291"/>
      <c r="U1945" s="292"/>
      <c r="V1945" s="259"/>
      <c r="W1945" s="259"/>
    </row>
    <row r="1946" spans="1:24" s="247" customFormat="1" x14ac:dyDescent="0.25">
      <c r="A1946" s="232"/>
      <c r="B1946" s="283"/>
      <c r="C1946" s="284"/>
      <c r="D1946" s="283"/>
      <c r="E1946" s="259"/>
      <c r="F1946" s="259"/>
      <c r="G1946" s="285"/>
      <c r="H1946" s="285"/>
      <c r="I1946" s="285"/>
      <c r="J1946" s="275"/>
      <c r="K1946" s="285"/>
      <c r="L1946" s="285"/>
      <c r="M1946" s="285"/>
      <c r="N1946" s="273"/>
      <c r="O1946" s="277"/>
      <c r="P1946" s="260"/>
      <c r="Q1946" s="261"/>
      <c r="R1946" s="262"/>
      <c r="S1946" s="291"/>
      <c r="T1946" s="263"/>
      <c r="U1946" s="264"/>
      <c r="V1946" s="259"/>
      <c r="W1946" s="259"/>
    </row>
    <row r="1947" spans="1:24" s="247" customFormat="1" x14ac:dyDescent="0.25">
      <c r="A1947" s="232"/>
      <c r="B1947" s="283"/>
      <c r="C1947" s="284"/>
      <c r="D1947" s="283"/>
      <c r="E1947" s="284"/>
      <c r="F1947" s="284"/>
      <c r="G1947" s="285"/>
      <c r="H1947" s="285"/>
      <c r="I1947" s="285"/>
      <c r="J1947" s="286"/>
      <c r="K1947" s="285"/>
      <c r="L1947" s="285"/>
      <c r="M1947" s="285"/>
      <c r="N1947" s="283"/>
      <c r="O1947" s="287"/>
      <c r="P1947" s="288"/>
      <c r="Q1947" s="289"/>
      <c r="R1947" s="290"/>
      <c r="S1947" s="291"/>
      <c r="T1947" s="291"/>
      <c r="U1947" s="292"/>
      <c r="V1947" s="259"/>
      <c r="W1947" s="259"/>
    </row>
    <row r="1948" spans="1:24" s="247" customFormat="1" x14ac:dyDescent="0.25">
      <c r="A1948" s="232"/>
      <c r="B1948" s="283"/>
      <c r="C1948" s="284"/>
      <c r="D1948" s="283"/>
      <c r="E1948" s="284"/>
      <c r="F1948" s="284"/>
      <c r="G1948" s="285"/>
      <c r="H1948" s="285"/>
      <c r="I1948" s="285"/>
      <c r="J1948" s="286"/>
      <c r="K1948" s="285"/>
      <c r="L1948" s="285"/>
      <c r="M1948" s="285"/>
      <c r="N1948" s="283"/>
      <c r="O1948" s="287"/>
      <c r="P1948" s="288"/>
      <c r="Q1948" s="289"/>
      <c r="R1948" s="290"/>
      <c r="S1948" s="291"/>
      <c r="T1948" s="291"/>
      <c r="U1948" s="292"/>
      <c r="V1948" s="259"/>
      <c r="W1948" s="259"/>
    </row>
    <row r="1949" spans="1:24" s="247" customFormat="1" x14ac:dyDescent="0.25">
      <c r="A1949" s="232"/>
      <c r="B1949" s="283"/>
      <c r="C1949" s="284"/>
      <c r="D1949" s="283"/>
      <c r="E1949" s="284"/>
      <c r="F1949" s="284"/>
      <c r="G1949" s="285"/>
      <c r="H1949" s="285"/>
      <c r="I1949" s="285"/>
      <c r="J1949" s="286"/>
      <c r="K1949" s="285"/>
      <c r="L1949" s="285"/>
      <c r="M1949" s="285"/>
      <c r="N1949" s="283"/>
      <c r="O1949" s="287"/>
      <c r="P1949" s="288"/>
      <c r="Q1949" s="289"/>
      <c r="R1949" s="290"/>
      <c r="S1949" s="291"/>
      <c r="T1949" s="291"/>
      <c r="U1949" s="292"/>
      <c r="V1949" s="259"/>
      <c r="X1949" s="49"/>
    </row>
    <row r="1950" spans="1:24" s="247" customFormat="1" x14ac:dyDescent="0.25">
      <c r="A1950" s="232"/>
      <c r="B1950" s="283"/>
      <c r="C1950" s="284"/>
      <c r="D1950" s="283"/>
      <c r="E1950" s="284"/>
      <c r="F1950" s="284"/>
      <c r="G1950" s="285"/>
      <c r="H1950" s="285"/>
      <c r="I1950" s="285"/>
      <c r="J1950" s="286"/>
      <c r="K1950" s="285"/>
      <c r="L1950" s="285"/>
      <c r="M1950" s="285"/>
      <c r="N1950" s="283"/>
      <c r="O1950" s="287"/>
      <c r="P1950" s="288"/>
      <c r="Q1950" s="289"/>
      <c r="R1950" s="290"/>
      <c r="S1950" s="291"/>
      <c r="T1950" s="291"/>
      <c r="U1950" s="292"/>
      <c r="V1950" s="259"/>
      <c r="W1950" s="259"/>
    </row>
    <row r="1951" spans="1:24" s="247" customFormat="1" x14ac:dyDescent="0.25">
      <c r="A1951" s="232"/>
      <c r="B1951" s="283"/>
      <c r="C1951" s="284"/>
      <c r="D1951" s="283"/>
      <c r="E1951" s="284"/>
      <c r="F1951" s="284"/>
      <c r="G1951" s="285"/>
      <c r="H1951" s="285"/>
      <c r="I1951" s="285"/>
      <c r="J1951" s="286"/>
      <c r="K1951" s="285"/>
      <c r="L1951" s="285"/>
      <c r="M1951" s="285"/>
      <c r="N1951" s="283"/>
      <c r="O1951" s="287"/>
      <c r="P1951" s="288"/>
      <c r="Q1951" s="289"/>
      <c r="R1951" s="290"/>
      <c r="S1951" s="291"/>
      <c r="T1951" s="291"/>
      <c r="U1951" s="292"/>
      <c r="V1951" s="259"/>
      <c r="W1951" s="259"/>
      <c r="X1951" s="49"/>
    </row>
    <row r="1952" spans="1:24" s="247" customFormat="1" x14ac:dyDescent="0.25">
      <c r="A1952" s="232"/>
      <c r="B1952" s="283"/>
      <c r="C1952" s="284"/>
      <c r="D1952" s="283"/>
      <c r="E1952" s="284"/>
      <c r="F1952" s="284"/>
      <c r="G1952" s="285"/>
      <c r="H1952" s="285"/>
      <c r="I1952" s="285"/>
      <c r="J1952" s="286"/>
      <c r="K1952" s="285"/>
      <c r="L1952" s="285"/>
      <c r="M1952" s="285"/>
      <c r="N1952" s="283"/>
      <c r="O1952" s="287"/>
      <c r="P1952" s="288"/>
      <c r="Q1952" s="289"/>
      <c r="R1952" s="290"/>
      <c r="S1952" s="291"/>
      <c r="T1952" s="291"/>
      <c r="U1952" s="292"/>
      <c r="V1952" s="259"/>
      <c r="W1952" s="259"/>
    </row>
    <row r="1953" spans="1:24" s="247" customFormat="1" x14ac:dyDescent="0.25">
      <c r="A1953" s="232"/>
      <c r="B1953" s="283"/>
      <c r="C1953" s="284"/>
      <c r="D1953" s="283"/>
      <c r="E1953" s="284"/>
      <c r="F1953" s="284"/>
      <c r="G1953" s="285"/>
      <c r="H1953" s="285"/>
      <c r="I1953" s="285"/>
      <c r="J1953" s="286"/>
      <c r="K1953" s="285"/>
      <c r="L1953" s="285"/>
      <c r="M1953" s="285"/>
      <c r="N1953" s="283"/>
      <c r="O1953" s="287"/>
      <c r="P1953" s="288"/>
      <c r="Q1953" s="289"/>
      <c r="R1953" s="290"/>
      <c r="S1953" s="291"/>
      <c r="T1953" s="291"/>
      <c r="U1953" s="292"/>
      <c r="V1953" s="259"/>
      <c r="W1953" s="284"/>
      <c r="X1953" s="49"/>
    </row>
    <row r="1954" spans="1:24" s="247" customFormat="1" x14ac:dyDescent="0.25">
      <c r="A1954" s="232"/>
      <c r="B1954" s="283"/>
      <c r="C1954" s="284"/>
      <c r="D1954" s="283"/>
      <c r="E1954" s="284"/>
      <c r="F1954" s="284"/>
      <c r="G1954" s="285"/>
      <c r="H1954" s="285"/>
      <c r="I1954" s="285"/>
      <c r="J1954" s="286"/>
      <c r="K1954" s="285"/>
      <c r="L1954" s="285"/>
      <c r="M1954" s="285"/>
      <c r="N1954" s="283"/>
      <c r="O1954" s="287"/>
      <c r="P1954" s="288"/>
      <c r="Q1954" s="289"/>
      <c r="R1954" s="290"/>
      <c r="S1954" s="291"/>
      <c r="T1954" s="291"/>
      <c r="U1954" s="292"/>
      <c r="V1954" s="259"/>
      <c r="W1954" s="259"/>
    </row>
    <row r="1955" spans="1:24" s="247" customFormat="1" x14ac:dyDescent="0.25">
      <c r="A1955" s="232"/>
      <c r="B1955" s="283"/>
      <c r="C1955" s="284"/>
      <c r="D1955" s="283"/>
      <c r="E1955" s="284"/>
      <c r="F1955" s="284"/>
      <c r="G1955" s="285"/>
      <c r="H1955" s="285"/>
      <c r="I1955" s="285"/>
      <c r="J1955" s="286"/>
      <c r="K1955" s="285"/>
      <c r="L1955" s="285"/>
      <c r="M1955" s="285"/>
      <c r="N1955" s="283"/>
      <c r="O1955" s="287"/>
      <c r="P1955" s="288"/>
      <c r="Q1955" s="289"/>
      <c r="R1955" s="290"/>
      <c r="S1955" s="291"/>
      <c r="T1955" s="291"/>
      <c r="U1955" s="292"/>
      <c r="V1955" s="259"/>
      <c r="W1955" s="259"/>
    </row>
    <row r="1956" spans="1:24" s="247" customFormat="1" x14ac:dyDescent="0.25">
      <c r="A1956" s="232"/>
      <c r="B1956" s="283"/>
      <c r="C1956" s="284"/>
      <c r="D1956" s="283"/>
      <c r="E1956" s="284"/>
      <c r="F1956" s="284"/>
      <c r="G1956" s="285"/>
      <c r="H1956" s="285"/>
      <c r="I1956" s="285"/>
      <c r="J1956" s="286"/>
      <c r="K1956" s="285"/>
      <c r="L1956" s="285"/>
      <c r="M1956" s="285"/>
      <c r="N1956" s="283"/>
      <c r="O1956" s="287"/>
      <c r="P1956" s="288"/>
      <c r="Q1956" s="289"/>
      <c r="R1956" s="290"/>
      <c r="S1956" s="291"/>
      <c r="T1956" s="291"/>
      <c r="U1956" s="292"/>
      <c r="V1956" s="259"/>
      <c r="W1956" s="259"/>
    </row>
    <row r="1957" spans="1:24" s="247" customFormat="1" x14ac:dyDescent="0.25">
      <c r="A1957" s="232"/>
      <c r="B1957" s="283"/>
      <c r="C1957" s="284"/>
      <c r="D1957" s="283"/>
      <c r="E1957" s="284"/>
      <c r="F1957" s="284"/>
      <c r="G1957" s="285"/>
      <c r="H1957" s="285"/>
      <c r="I1957" s="285"/>
      <c r="J1957" s="286"/>
      <c r="K1957" s="285"/>
      <c r="L1957" s="285"/>
      <c r="M1957" s="285"/>
      <c r="N1957" s="283"/>
      <c r="O1957" s="287"/>
      <c r="P1957" s="288"/>
      <c r="Q1957" s="289"/>
      <c r="R1957" s="290"/>
      <c r="S1957" s="291"/>
      <c r="T1957" s="291"/>
      <c r="U1957" s="292"/>
      <c r="V1957" s="259"/>
      <c r="W1957" s="259"/>
    </row>
    <row r="1958" spans="1:24" s="247" customFormat="1" x14ac:dyDescent="0.25">
      <c r="A1958" s="232"/>
      <c r="B1958" s="283"/>
      <c r="C1958" s="284"/>
      <c r="D1958" s="283"/>
      <c r="E1958" s="284"/>
      <c r="F1958" s="284"/>
      <c r="G1958" s="285"/>
      <c r="H1958" s="285"/>
      <c r="I1958" s="285"/>
      <c r="J1958" s="286"/>
      <c r="K1958" s="285"/>
      <c r="L1958" s="285"/>
      <c r="M1958" s="285"/>
      <c r="N1958" s="283"/>
      <c r="O1958" s="287"/>
      <c r="P1958" s="288"/>
      <c r="Q1958" s="289"/>
      <c r="R1958" s="290"/>
      <c r="S1958" s="291"/>
      <c r="T1958" s="291"/>
      <c r="U1958" s="292"/>
      <c r="V1958" s="259"/>
      <c r="W1958" s="259"/>
    </row>
    <row r="1959" spans="1:24" s="247" customFormat="1" x14ac:dyDescent="0.25">
      <c r="A1959" s="232"/>
      <c r="B1959" s="283"/>
      <c r="C1959" s="284"/>
      <c r="D1959" s="283"/>
      <c r="E1959" s="284"/>
      <c r="F1959" s="284"/>
      <c r="G1959" s="285"/>
      <c r="H1959" s="285"/>
      <c r="I1959" s="285"/>
      <c r="J1959" s="286"/>
      <c r="K1959" s="285"/>
      <c r="L1959" s="285"/>
      <c r="M1959" s="285"/>
      <c r="N1959" s="283"/>
      <c r="O1959" s="287"/>
      <c r="P1959" s="288"/>
      <c r="Q1959" s="289"/>
      <c r="R1959" s="290"/>
      <c r="S1959" s="291"/>
      <c r="T1959" s="291"/>
      <c r="U1959" s="292"/>
      <c r="V1959" s="259"/>
      <c r="W1959" s="259"/>
    </row>
    <row r="1960" spans="1:24" s="247" customFormat="1" x14ac:dyDescent="0.25">
      <c r="A1960" s="232"/>
      <c r="B1960" s="283"/>
      <c r="C1960" s="284"/>
      <c r="D1960" s="283"/>
      <c r="E1960" s="284"/>
      <c r="F1960" s="284"/>
      <c r="G1960" s="285"/>
      <c r="H1960" s="285"/>
      <c r="I1960" s="285"/>
      <c r="J1960" s="286"/>
      <c r="K1960" s="285"/>
      <c r="L1960" s="285"/>
      <c r="M1960" s="285"/>
      <c r="N1960" s="283"/>
      <c r="O1960" s="287"/>
      <c r="P1960" s="288"/>
      <c r="Q1960" s="289"/>
      <c r="R1960" s="290"/>
      <c r="S1960" s="291"/>
      <c r="T1960" s="291"/>
      <c r="U1960" s="292"/>
      <c r="V1960" s="259"/>
      <c r="W1960" s="259"/>
    </row>
    <row r="1961" spans="1:24" s="247" customFormat="1" x14ac:dyDescent="0.25">
      <c r="A1961" s="232"/>
      <c r="B1961" s="283"/>
      <c r="C1961" s="284"/>
      <c r="D1961" s="283"/>
      <c r="E1961" s="284"/>
      <c r="F1961" s="284"/>
      <c r="G1961" s="285"/>
      <c r="H1961" s="285"/>
      <c r="I1961" s="285"/>
      <c r="J1961" s="286"/>
      <c r="K1961" s="285"/>
      <c r="L1961" s="285"/>
      <c r="M1961" s="285"/>
      <c r="N1961" s="283"/>
      <c r="O1961" s="287"/>
      <c r="P1961" s="288"/>
      <c r="Q1961" s="289"/>
      <c r="R1961" s="290"/>
      <c r="S1961" s="291"/>
      <c r="T1961" s="291"/>
      <c r="U1961" s="292"/>
      <c r="V1961" s="259"/>
      <c r="W1961" s="259"/>
    </row>
    <row r="1962" spans="1:24" s="247" customFormat="1" x14ac:dyDescent="0.25">
      <c r="A1962" s="232"/>
      <c r="B1962" s="283"/>
      <c r="C1962" s="284"/>
      <c r="D1962" s="283"/>
      <c r="E1962" s="284"/>
      <c r="F1962" s="284"/>
      <c r="G1962" s="285"/>
      <c r="H1962" s="285"/>
      <c r="I1962" s="285"/>
      <c r="J1962" s="286"/>
      <c r="K1962" s="285"/>
      <c r="L1962" s="285"/>
      <c r="M1962" s="285"/>
      <c r="N1962" s="283"/>
      <c r="O1962" s="287"/>
      <c r="P1962" s="288"/>
      <c r="Q1962" s="289"/>
      <c r="R1962" s="290"/>
      <c r="S1962" s="291"/>
      <c r="T1962" s="291"/>
      <c r="U1962" s="292"/>
      <c r="V1962" s="259"/>
      <c r="W1962" s="259"/>
    </row>
    <row r="1963" spans="1:24" s="247" customFormat="1" x14ac:dyDescent="0.25">
      <c r="A1963" s="232"/>
      <c r="B1963" s="283"/>
      <c r="C1963" s="284"/>
      <c r="D1963" s="283"/>
      <c r="E1963" s="284"/>
      <c r="F1963" s="284"/>
      <c r="G1963" s="285"/>
      <c r="H1963" s="285"/>
      <c r="I1963" s="285"/>
      <c r="J1963" s="286"/>
      <c r="K1963" s="285"/>
      <c r="L1963" s="285"/>
      <c r="M1963" s="285"/>
      <c r="N1963" s="283"/>
      <c r="O1963" s="287"/>
      <c r="P1963" s="288"/>
      <c r="Q1963" s="289"/>
      <c r="R1963" s="290"/>
      <c r="S1963" s="291"/>
      <c r="T1963" s="291"/>
      <c r="U1963" s="292"/>
      <c r="V1963" s="259"/>
      <c r="W1963" s="259"/>
    </row>
    <row r="1964" spans="1:24" s="247" customFormat="1" x14ac:dyDescent="0.25">
      <c r="A1964" s="232"/>
      <c r="B1964" s="283"/>
      <c r="C1964" s="284"/>
      <c r="D1964" s="283"/>
      <c r="E1964" s="284"/>
      <c r="F1964" s="284"/>
      <c r="G1964" s="285"/>
      <c r="H1964" s="285"/>
      <c r="I1964" s="285"/>
      <c r="J1964" s="286"/>
      <c r="K1964" s="285"/>
      <c r="L1964" s="285"/>
      <c r="M1964" s="285"/>
      <c r="N1964" s="283"/>
      <c r="O1964" s="287"/>
      <c r="P1964" s="288"/>
      <c r="Q1964" s="289"/>
      <c r="R1964" s="290"/>
      <c r="S1964" s="291"/>
      <c r="T1964" s="291"/>
      <c r="U1964" s="292"/>
      <c r="V1964" s="259"/>
      <c r="W1964" s="259"/>
    </row>
    <row r="1965" spans="1:24" s="247" customFormat="1" x14ac:dyDescent="0.25">
      <c r="A1965" s="232"/>
      <c r="B1965" s="283"/>
      <c r="C1965" s="284"/>
      <c r="D1965" s="283"/>
      <c r="E1965" s="284"/>
      <c r="F1965" s="284"/>
      <c r="G1965" s="285"/>
      <c r="H1965" s="285"/>
      <c r="I1965" s="285"/>
      <c r="J1965" s="286"/>
      <c r="K1965" s="285"/>
      <c r="L1965" s="285"/>
      <c r="M1965" s="285"/>
      <c r="N1965" s="283"/>
      <c r="O1965" s="287"/>
      <c r="P1965" s="288"/>
      <c r="Q1965" s="289"/>
      <c r="R1965" s="290"/>
      <c r="S1965" s="291"/>
      <c r="T1965" s="291"/>
      <c r="U1965" s="292"/>
      <c r="V1965" s="259"/>
      <c r="W1965" s="259"/>
    </row>
    <row r="1966" spans="1:24" s="247" customFormat="1" x14ac:dyDescent="0.25">
      <c r="A1966" s="232"/>
      <c r="B1966" s="283"/>
      <c r="C1966" s="284"/>
      <c r="D1966" s="283"/>
      <c r="E1966" s="284"/>
      <c r="F1966" s="284"/>
      <c r="G1966" s="285"/>
      <c r="H1966" s="285"/>
      <c r="I1966" s="285"/>
      <c r="J1966" s="286"/>
      <c r="K1966" s="285"/>
      <c r="L1966" s="285"/>
      <c r="M1966" s="285"/>
      <c r="N1966" s="283"/>
      <c r="O1966" s="287"/>
      <c r="P1966" s="288"/>
      <c r="Q1966" s="289"/>
      <c r="R1966" s="290"/>
      <c r="S1966" s="291"/>
      <c r="T1966" s="291"/>
      <c r="U1966" s="292"/>
      <c r="V1966" s="259"/>
      <c r="W1966" s="49"/>
    </row>
    <row r="1967" spans="1:24" s="247" customFormat="1" x14ac:dyDescent="0.25">
      <c r="A1967" s="232"/>
      <c r="B1967" s="283"/>
      <c r="C1967" s="284"/>
      <c r="D1967" s="283"/>
      <c r="E1967" s="284"/>
      <c r="F1967" s="284"/>
      <c r="G1967" s="285"/>
      <c r="H1967" s="285"/>
      <c r="I1967" s="285"/>
      <c r="J1967" s="286"/>
      <c r="K1967" s="285"/>
      <c r="L1967" s="285"/>
      <c r="M1967" s="285"/>
      <c r="N1967" s="283"/>
      <c r="O1967" s="287"/>
      <c r="P1967" s="288"/>
      <c r="Q1967" s="289"/>
      <c r="R1967" s="290"/>
      <c r="S1967" s="291"/>
      <c r="T1967" s="291"/>
      <c r="U1967" s="292"/>
      <c r="V1967" s="259"/>
      <c r="W1967" s="259"/>
    </row>
    <row r="1968" spans="1:24" s="247" customFormat="1" x14ac:dyDescent="0.25">
      <c r="A1968" s="232"/>
      <c r="B1968" s="283"/>
      <c r="C1968" s="284"/>
      <c r="D1968" s="283"/>
      <c r="E1968" s="284"/>
      <c r="F1968" s="284"/>
      <c r="G1968" s="285"/>
      <c r="H1968" s="285"/>
      <c r="I1968" s="285"/>
      <c r="J1968" s="286"/>
      <c r="K1968" s="285"/>
      <c r="L1968" s="285"/>
      <c r="M1968" s="285"/>
      <c r="N1968" s="283"/>
      <c r="O1968" s="287"/>
      <c r="P1968" s="288"/>
      <c r="Q1968" s="289"/>
      <c r="R1968" s="290"/>
      <c r="S1968" s="291"/>
      <c r="T1968" s="291"/>
      <c r="U1968" s="292"/>
      <c r="V1968" s="259"/>
      <c r="W1968" s="259"/>
    </row>
    <row r="1969" spans="1:23" s="247" customFormat="1" x14ac:dyDescent="0.25">
      <c r="A1969" s="232"/>
      <c r="B1969" s="283"/>
      <c r="C1969" s="284"/>
      <c r="D1969" s="283"/>
      <c r="E1969" s="284"/>
      <c r="F1969" s="284"/>
      <c r="G1969" s="285"/>
      <c r="H1969" s="285"/>
      <c r="I1969" s="285"/>
      <c r="J1969" s="286"/>
      <c r="K1969" s="285"/>
      <c r="L1969" s="285"/>
      <c r="M1969" s="285"/>
      <c r="N1969" s="283"/>
      <c r="O1969" s="287"/>
      <c r="P1969" s="288"/>
      <c r="Q1969" s="289"/>
      <c r="R1969" s="290"/>
      <c r="S1969" s="291"/>
      <c r="T1969" s="291"/>
      <c r="U1969" s="292"/>
      <c r="V1969" s="259"/>
      <c r="W1969" s="259"/>
    </row>
    <row r="1970" spans="1:23" s="247" customFormat="1" x14ac:dyDescent="0.25">
      <c r="A1970" s="232"/>
      <c r="B1970" s="283"/>
      <c r="C1970" s="284"/>
      <c r="D1970" s="283"/>
      <c r="E1970" s="284"/>
      <c r="F1970" s="284"/>
      <c r="G1970" s="285"/>
      <c r="H1970" s="285"/>
      <c r="I1970" s="285"/>
      <c r="J1970" s="286"/>
      <c r="K1970" s="285"/>
      <c r="L1970" s="285"/>
      <c r="M1970" s="285"/>
      <c r="N1970" s="283"/>
      <c r="O1970" s="287"/>
      <c r="P1970" s="288"/>
      <c r="Q1970" s="289"/>
      <c r="R1970" s="290"/>
      <c r="S1970" s="291"/>
      <c r="T1970" s="291"/>
      <c r="U1970" s="292"/>
      <c r="V1970" s="259"/>
      <c r="W1970" s="259"/>
    </row>
    <row r="1971" spans="1:23" s="247" customFormat="1" x14ac:dyDescent="0.25">
      <c r="A1971" s="232"/>
      <c r="B1971" s="283"/>
      <c r="C1971" s="284"/>
      <c r="D1971" s="283"/>
      <c r="E1971" s="284"/>
      <c r="F1971" s="284"/>
      <c r="G1971" s="285"/>
      <c r="H1971" s="285"/>
      <c r="I1971" s="285"/>
      <c r="J1971" s="286"/>
      <c r="K1971" s="285"/>
      <c r="L1971" s="285"/>
      <c r="M1971" s="285"/>
      <c r="N1971" s="283"/>
      <c r="O1971" s="287"/>
      <c r="P1971" s="288"/>
      <c r="Q1971" s="289"/>
      <c r="R1971" s="290"/>
      <c r="S1971" s="291"/>
      <c r="T1971" s="291"/>
      <c r="U1971" s="292"/>
      <c r="V1971" s="259"/>
      <c r="W1971" s="259"/>
    </row>
    <row r="1972" spans="1:23" s="247" customFormat="1" x14ac:dyDescent="0.25">
      <c r="A1972" s="232"/>
      <c r="B1972" s="283"/>
      <c r="C1972" s="284"/>
      <c r="D1972" s="283"/>
      <c r="E1972" s="284"/>
      <c r="F1972" s="284"/>
      <c r="G1972" s="285"/>
      <c r="H1972" s="285"/>
      <c r="I1972" s="285"/>
      <c r="J1972" s="286"/>
      <c r="K1972" s="285"/>
      <c r="L1972" s="285"/>
      <c r="M1972" s="285"/>
      <c r="N1972" s="283"/>
      <c r="O1972" s="287"/>
      <c r="P1972" s="288"/>
      <c r="Q1972" s="289"/>
      <c r="R1972" s="290"/>
      <c r="S1972" s="291"/>
      <c r="T1972" s="291"/>
      <c r="U1972" s="292"/>
      <c r="V1972" s="259"/>
      <c r="W1972" s="259"/>
    </row>
    <row r="1973" spans="1:23" s="247" customFormat="1" x14ac:dyDescent="0.25">
      <c r="A1973" s="232"/>
      <c r="B1973" s="283"/>
      <c r="C1973" s="284"/>
      <c r="D1973" s="283"/>
      <c r="E1973" s="284"/>
      <c r="F1973" s="284"/>
      <c r="G1973" s="285"/>
      <c r="H1973" s="285"/>
      <c r="I1973" s="285"/>
      <c r="J1973" s="286"/>
      <c r="K1973" s="285"/>
      <c r="L1973" s="285"/>
      <c r="M1973" s="285"/>
      <c r="N1973" s="283"/>
      <c r="O1973" s="287"/>
      <c r="P1973" s="288"/>
      <c r="Q1973" s="289"/>
      <c r="R1973" s="290"/>
      <c r="S1973" s="291"/>
      <c r="T1973" s="291"/>
      <c r="U1973" s="292"/>
      <c r="V1973" s="259"/>
      <c r="W1973" s="259"/>
    </row>
    <row r="1974" spans="1:23" s="247" customFormat="1" x14ac:dyDescent="0.25">
      <c r="A1974" s="232"/>
      <c r="B1974" s="283"/>
      <c r="C1974" s="284"/>
      <c r="D1974" s="283"/>
      <c r="E1974" s="284"/>
      <c r="F1974" s="284"/>
      <c r="G1974" s="285"/>
      <c r="H1974" s="285"/>
      <c r="I1974" s="285"/>
      <c r="J1974" s="286"/>
      <c r="K1974" s="285"/>
      <c r="L1974" s="285"/>
      <c r="M1974" s="285"/>
      <c r="N1974" s="283"/>
      <c r="O1974" s="287"/>
      <c r="P1974" s="288"/>
      <c r="Q1974" s="289"/>
      <c r="R1974" s="290"/>
      <c r="S1974" s="291"/>
      <c r="T1974" s="291"/>
      <c r="U1974" s="292"/>
      <c r="V1974" s="259"/>
      <c r="W1974" s="259"/>
    </row>
    <row r="1975" spans="1:23" s="247" customFormat="1" x14ac:dyDescent="0.25">
      <c r="A1975" s="232"/>
      <c r="B1975" s="283"/>
      <c r="C1975" s="284"/>
      <c r="D1975" s="283"/>
      <c r="E1975" s="284"/>
      <c r="F1975" s="284"/>
      <c r="G1975" s="285"/>
      <c r="H1975" s="285"/>
      <c r="I1975" s="285"/>
      <c r="J1975" s="286"/>
      <c r="K1975" s="285"/>
      <c r="L1975" s="285"/>
      <c r="M1975" s="285"/>
      <c r="N1975" s="283"/>
      <c r="O1975" s="287"/>
      <c r="P1975" s="288"/>
      <c r="Q1975" s="289"/>
      <c r="R1975" s="290"/>
      <c r="S1975" s="291"/>
      <c r="T1975" s="291"/>
      <c r="U1975" s="292"/>
      <c r="V1975" s="259"/>
      <c r="W1975" s="259"/>
    </row>
    <row r="1976" spans="1:23" s="247" customFormat="1" x14ac:dyDescent="0.25">
      <c r="A1976" s="232"/>
      <c r="B1976" s="283"/>
      <c r="C1976" s="284"/>
      <c r="D1976" s="283"/>
      <c r="E1976" s="284"/>
      <c r="F1976" s="284"/>
      <c r="G1976" s="285"/>
      <c r="H1976" s="285"/>
      <c r="I1976" s="285"/>
      <c r="J1976" s="286"/>
      <c r="K1976" s="285"/>
      <c r="L1976" s="285"/>
      <c r="M1976" s="285"/>
      <c r="N1976" s="283"/>
      <c r="O1976" s="287"/>
      <c r="P1976" s="288"/>
      <c r="Q1976" s="289"/>
      <c r="R1976" s="290"/>
      <c r="S1976" s="291"/>
      <c r="T1976" s="291"/>
      <c r="U1976" s="292"/>
      <c r="V1976" s="259"/>
      <c r="W1976" s="259"/>
    </row>
    <row r="1977" spans="1:23" s="247" customFormat="1" x14ac:dyDescent="0.25">
      <c r="A1977" s="232"/>
      <c r="B1977" s="283"/>
      <c r="C1977" s="284"/>
      <c r="D1977" s="283"/>
      <c r="E1977" s="284"/>
      <c r="F1977" s="284"/>
      <c r="G1977" s="285"/>
      <c r="H1977" s="285"/>
      <c r="I1977" s="285"/>
      <c r="J1977" s="286"/>
      <c r="K1977" s="285"/>
      <c r="L1977" s="285"/>
      <c r="M1977" s="285"/>
      <c r="N1977" s="283"/>
      <c r="O1977" s="287"/>
      <c r="P1977" s="288"/>
      <c r="Q1977" s="289"/>
      <c r="R1977" s="290"/>
      <c r="S1977" s="291"/>
      <c r="T1977" s="291"/>
      <c r="U1977" s="292"/>
      <c r="V1977" s="259"/>
      <c r="W1977" s="259"/>
    </row>
    <row r="1978" spans="1:23" s="247" customFormat="1" x14ac:dyDescent="0.25">
      <c r="A1978" s="232"/>
      <c r="B1978" s="283"/>
      <c r="C1978" s="284"/>
      <c r="D1978" s="283"/>
      <c r="E1978" s="284"/>
      <c r="F1978" s="284"/>
      <c r="G1978" s="285"/>
      <c r="H1978" s="285"/>
      <c r="I1978" s="285"/>
      <c r="J1978" s="286"/>
      <c r="K1978" s="285"/>
      <c r="L1978" s="285"/>
      <c r="M1978" s="285"/>
      <c r="N1978" s="283"/>
      <c r="O1978" s="287"/>
      <c r="P1978" s="288"/>
      <c r="Q1978" s="289"/>
      <c r="R1978" s="290"/>
      <c r="S1978" s="291"/>
      <c r="T1978" s="291"/>
      <c r="U1978" s="292"/>
      <c r="V1978" s="259"/>
      <c r="W1978" s="259"/>
    </row>
    <row r="1979" spans="1:23" s="247" customFormat="1" x14ac:dyDescent="0.25">
      <c r="A1979" s="232"/>
      <c r="B1979" s="283"/>
      <c r="C1979" s="284"/>
      <c r="D1979" s="283"/>
      <c r="E1979" s="284"/>
      <c r="F1979" s="284"/>
      <c r="G1979" s="285"/>
      <c r="H1979" s="285"/>
      <c r="I1979" s="285"/>
      <c r="J1979" s="286"/>
      <c r="K1979" s="285"/>
      <c r="L1979" s="285"/>
      <c r="M1979" s="285"/>
      <c r="N1979" s="283"/>
      <c r="O1979" s="287"/>
      <c r="P1979" s="288"/>
      <c r="Q1979" s="289"/>
      <c r="R1979" s="290"/>
      <c r="S1979" s="291"/>
      <c r="T1979" s="291"/>
      <c r="U1979" s="292"/>
      <c r="V1979" s="259"/>
      <c r="W1979" s="259"/>
    </row>
    <row r="1980" spans="1:23" s="247" customFormat="1" x14ac:dyDescent="0.25">
      <c r="A1980" s="232"/>
      <c r="B1980" s="283"/>
      <c r="C1980" s="284"/>
      <c r="D1980" s="283"/>
      <c r="E1980" s="284"/>
      <c r="F1980" s="284"/>
      <c r="G1980" s="285"/>
      <c r="H1980" s="285"/>
      <c r="I1980" s="285"/>
      <c r="J1980" s="286"/>
      <c r="K1980" s="285"/>
      <c r="L1980" s="285"/>
      <c r="M1980" s="285"/>
      <c r="N1980" s="283"/>
      <c r="O1980" s="287"/>
      <c r="P1980" s="288"/>
      <c r="Q1980" s="289"/>
      <c r="R1980" s="290"/>
      <c r="S1980" s="291"/>
      <c r="T1980" s="291"/>
      <c r="U1980" s="292"/>
      <c r="V1980" s="259"/>
      <c r="W1980" s="259"/>
    </row>
    <row r="1981" spans="1:23" s="247" customFormat="1" x14ac:dyDescent="0.25">
      <c r="A1981" s="232"/>
      <c r="B1981" s="283"/>
      <c r="C1981" s="284"/>
      <c r="D1981" s="283"/>
      <c r="E1981" s="284"/>
      <c r="F1981" s="284"/>
      <c r="G1981" s="285"/>
      <c r="H1981" s="285"/>
      <c r="I1981" s="285"/>
      <c r="J1981" s="286"/>
      <c r="K1981" s="285"/>
      <c r="L1981" s="285"/>
      <c r="M1981" s="285"/>
      <c r="N1981" s="283"/>
      <c r="O1981" s="287"/>
      <c r="P1981" s="288"/>
      <c r="Q1981" s="289"/>
      <c r="R1981" s="290"/>
      <c r="S1981" s="291"/>
      <c r="T1981" s="291"/>
      <c r="U1981" s="292"/>
      <c r="V1981" s="259"/>
      <c r="W1981" s="259"/>
    </row>
    <row r="1982" spans="1:23" s="247" customFormat="1" x14ac:dyDescent="0.25">
      <c r="A1982" s="232"/>
      <c r="B1982" s="283"/>
      <c r="C1982" s="284"/>
      <c r="D1982" s="283"/>
      <c r="E1982" s="284"/>
      <c r="F1982" s="284"/>
      <c r="G1982" s="285"/>
      <c r="H1982" s="285"/>
      <c r="I1982" s="285"/>
      <c r="J1982" s="286"/>
      <c r="K1982" s="285"/>
      <c r="L1982" s="285"/>
      <c r="M1982" s="285"/>
      <c r="N1982" s="283"/>
      <c r="O1982" s="287"/>
      <c r="P1982" s="288"/>
      <c r="Q1982" s="289"/>
      <c r="R1982" s="290"/>
      <c r="S1982" s="291"/>
      <c r="T1982" s="291"/>
      <c r="U1982" s="292"/>
      <c r="V1982" s="259"/>
      <c r="W1982" s="259"/>
    </row>
    <row r="1983" spans="1:23" s="247" customFormat="1" x14ac:dyDescent="0.25">
      <c r="A1983" s="232"/>
      <c r="B1983" s="283"/>
      <c r="C1983" s="284"/>
      <c r="D1983" s="283"/>
      <c r="E1983" s="284"/>
      <c r="F1983" s="284"/>
      <c r="G1983" s="285"/>
      <c r="H1983" s="285"/>
      <c r="I1983" s="285"/>
      <c r="J1983" s="286"/>
      <c r="K1983" s="285"/>
      <c r="L1983" s="285"/>
      <c r="M1983" s="285"/>
      <c r="N1983" s="283"/>
      <c r="O1983" s="287"/>
      <c r="P1983" s="288"/>
      <c r="Q1983" s="289"/>
      <c r="R1983" s="290"/>
      <c r="S1983" s="291"/>
      <c r="T1983" s="291"/>
      <c r="U1983" s="292"/>
      <c r="V1983" s="259"/>
      <c r="W1983" s="259"/>
    </row>
    <row r="1984" spans="1:23" s="247" customFormat="1" x14ac:dyDescent="0.25">
      <c r="A1984" s="232"/>
      <c r="B1984" s="283"/>
      <c r="C1984" s="284"/>
      <c r="D1984" s="283"/>
      <c r="E1984" s="284"/>
      <c r="F1984" s="284"/>
      <c r="G1984" s="285"/>
      <c r="H1984" s="285"/>
      <c r="I1984" s="285"/>
      <c r="J1984" s="286"/>
      <c r="K1984" s="285"/>
      <c r="L1984" s="285"/>
      <c r="M1984" s="285"/>
      <c r="N1984" s="283"/>
      <c r="O1984" s="287"/>
      <c r="P1984" s="288"/>
      <c r="Q1984" s="289"/>
      <c r="R1984" s="290"/>
      <c r="S1984" s="291"/>
      <c r="T1984" s="291"/>
      <c r="U1984" s="292"/>
      <c r="V1984" s="259"/>
      <c r="W1984" s="259"/>
    </row>
    <row r="1985" spans="1:23" s="247" customFormat="1" x14ac:dyDescent="0.25">
      <c r="A1985" s="232"/>
      <c r="B1985" s="283"/>
      <c r="C1985" s="284"/>
      <c r="D1985" s="283"/>
      <c r="E1985" s="284"/>
      <c r="F1985" s="284"/>
      <c r="G1985" s="285"/>
      <c r="H1985" s="285"/>
      <c r="I1985" s="285"/>
      <c r="J1985" s="286"/>
      <c r="K1985" s="285"/>
      <c r="L1985" s="285"/>
      <c r="M1985" s="285"/>
      <c r="N1985" s="283"/>
      <c r="O1985" s="287"/>
      <c r="P1985" s="288"/>
      <c r="Q1985" s="289"/>
      <c r="R1985" s="290"/>
      <c r="S1985" s="291"/>
      <c r="T1985" s="291"/>
      <c r="U1985" s="292"/>
      <c r="V1985" s="259"/>
      <c r="W1985" s="259"/>
    </row>
    <row r="1986" spans="1:23" s="247" customFormat="1" x14ac:dyDescent="0.25">
      <c r="A1986" s="232"/>
      <c r="B1986" s="283"/>
      <c r="C1986" s="284"/>
      <c r="D1986" s="283"/>
      <c r="E1986" s="284"/>
      <c r="F1986" s="284"/>
      <c r="G1986" s="285"/>
      <c r="H1986" s="285"/>
      <c r="I1986" s="285"/>
      <c r="J1986" s="286"/>
      <c r="K1986" s="285"/>
      <c r="L1986" s="285"/>
      <c r="M1986" s="285"/>
      <c r="N1986" s="283"/>
      <c r="O1986" s="287"/>
      <c r="P1986" s="288"/>
      <c r="Q1986" s="289"/>
      <c r="R1986" s="290"/>
      <c r="S1986" s="291"/>
      <c r="T1986" s="291"/>
      <c r="U1986" s="292"/>
      <c r="V1986" s="259"/>
      <c r="W1986" s="259"/>
    </row>
    <row r="1987" spans="1:23" s="247" customFormat="1" x14ac:dyDescent="0.25">
      <c r="A1987" s="232"/>
      <c r="B1987" s="283"/>
      <c r="C1987" s="284"/>
      <c r="D1987" s="283"/>
      <c r="E1987" s="284"/>
      <c r="F1987" s="284"/>
      <c r="G1987" s="285"/>
      <c r="H1987" s="285"/>
      <c r="I1987" s="285"/>
      <c r="J1987" s="286"/>
      <c r="K1987" s="285"/>
      <c r="L1987" s="285"/>
      <c r="M1987" s="285"/>
      <c r="N1987" s="283"/>
      <c r="O1987" s="287"/>
      <c r="P1987" s="288"/>
      <c r="Q1987" s="289"/>
      <c r="R1987" s="290"/>
      <c r="S1987" s="291"/>
      <c r="T1987" s="291"/>
      <c r="U1987" s="292"/>
      <c r="V1987" s="259"/>
      <c r="W1987" s="259"/>
    </row>
    <row r="1988" spans="1:23" s="247" customFormat="1" x14ac:dyDescent="0.25">
      <c r="A1988" s="232"/>
      <c r="B1988" s="283"/>
      <c r="C1988" s="284"/>
      <c r="D1988" s="283"/>
      <c r="E1988" s="284"/>
      <c r="F1988" s="284"/>
      <c r="G1988" s="285"/>
      <c r="H1988" s="285"/>
      <c r="I1988" s="285"/>
      <c r="J1988" s="286"/>
      <c r="K1988" s="285"/>
      <c r="L1988" s="285"/>
      <c r="M1988" s="285"/>
      <c r="N1988" s="283"/>
      <c r="O1988" s="287"/>
      <c r="P1988" s="288"/>
      <c r="Q1988" s="289"/>
      <c r="R1988" s="290"/>
      <c r="S1988" s="291"/>
      <c r="T1988" s="291"/>
      <c r="U1988" s="292"/>
      <c r="V1988" s="259"/>
      <c r="W1988" s="259"/>
    </row>
    <row r="1989" spans="1:23" s="247" customFormat="1" x14ac:dyDescent="0.25">
      <c r="A1989" s="232"/>
      <c r="B1989" s="283"/>
      <c r="C1989" s="284"/>
      <c r="D1989" s="283"/>
      <c r="E1989" s="284"/>
      <c r="F1989" s="284"/>
      <c r="G1989" s="285"/>
      <c r="H1989" s="285"/>
      <c r="I1989" s="285"/>
      <c r="J1989" s="286"/>
      <c r="K1989" s="285"/>
      <c r="L1989" s="285"/>
      <c r="M1989" s="285"/>
      <c r="N1989" s="283"/>
      <c r="O1989" s="287"/>
      <c r="P1989" s="288"/>
      <c r="Q1989" s="289"/>
      <c r="R1989" s="290"/>
      <c r="S1989" s="291"/>
      <c r="T1989" s="291"/>
      <c r="U1989" s="292"/>
      <c r="V1989" s="259"/>
      <c r="W1989" s="259"/>
    </row>
    <row r="1990" spans="1:23" s="247" customFormat="1" x14ac:dyDescent="0.25">
      <c r="A1990" s="232"/>
      <c r="B1990" s="283"/>
      <c r="C1990" s="284"/>
      <c r="D1990" s="283"/>
      <c r="E1990" s="284"/>
      <c r="F1990" s="284"/>
      <c r="G1990" s="285"/>
      <c r="H1990" s="285"/>
      <c r="I1990" s="285"/>
      <c r="J1990" s="286"/>
      <c r="K1990" s="285"/>
      <c r="L1990" s="285"/>
      <c r="M1990" s="285"/>
      <c r="N1990" s="283"/>
      <c r="O1990" s="287"/>
      <c r="P1990" s="288"/>
      <c r="Q1990" s="289"/>
      <c r="R1990" s="290"/>
      <c r="S1990" s="291"/>
      <c r="T1990" s="291"/>
      <c r="U1990" s="292"/>
      <c r="V1990" s="259"/>
      <c r="W1990" s="259"/>
    </row>
    <row r="1991" spans="1:23" s="247" customFormat="1" x14ac:dyDescent="0.25">
      <c r="A1991" s="232"/>
      <c r="B1991" s="283"/>
      <c r="C1991" s="284"/>
      <c r="D1991" s="283"/>
      <c r="E1991" s="284"/>
      <c r="F1991" s="284"/>
      <c r="G1991" s="285"/>
      <c r="H1991" s="285"/>
      <c r="I1991" s="285"/>
      <c r="J1991" s="286"/>
      <c r="K1991" s="285"/>
      <c r="L1991" s="285"/>
      <c r="M1991" s="285"/>
      <c r="N1991" s="283"/>
      <c r="O1991" s="287"/>
      <c r="P1991" s="288"/>
      <c r="Q1991" s="289"/>
      <c r="R1991" s="290"/>
      <c r="S1991" s="291"/>
      <c r="T1991" s="291"/>
      <c r="U1991" s="292"/>
      <c r="V1991" s="259"/>
      <c r="W1991" s="259"/>
    </row>
    <row r="1992" spans="1:23" s="247" customFormat="1" x14ac:dyDescent="0.25">
      <c r="A1992" s="232"/>
      <c r="B1992" s="283"/>
      <c r="C1992" s="284"/>
      <c r="D1992" s="283"/>
      <c r="E1992" s="284"/>
      <c r="F1992" s="284"/>
      <c r="G1992" s="285"/>
      <c r="H1992" s="285"/>
      <c r="I1992" s="285"/>
      <c r="J1992" s="286"/>
      <c r="K1992" s="285"/>
      <c r="L1992" s="285"/>
      <c r="M1992" s="285"/>
      <c r="N1992" s="283"/>
      <c r="O1992" s="287"/>
      <c r="P1992" s="288"/>
      <c r="Q1992" s="289"/>
      <c r="R1992" s="290"/>
      <c r="S1992" s="291"/>
      <c r="T1992" s="291"/>
      <c r="U1992" s="292"/>
      <c r="V1992" s="259"/>
      <c r="W1992" s="259"/>
    </row>
    <row r="1993" spans="1:23" s="247" customFormat="1" x14ac:dyDescent="0.25">
      <c r="A1993" s="232"/>
      <c r="B1993" s="283"/>
      <c r="C1993" s="284"/>
      <c r="D1993" s="283"/>
      <c r="E1993" s="284"/>
      <c r="F1993" s="284"/>
      <c r="G1993" s="285"/>
      <c r="H1993" s="285"/>
      <c r="I1993" s="285"/>
      <c r="J1993" s="286"/>
      <c r="K1993" s="285"/>
      <c r="L1993" s="285"/>
      <c r="M1993" s="285"/>
      <c r="N1993" s="283"/>
      <c r="O1993" s="287"/>
      <c r="P1993" s="288"/>
      <c r="Q1993" s="289"/>
      <c r="R1993" s="290"/>
      <c r="S1993" s="291"/>
      <c r="T1993" s="291"/>
      <c r="U1993" s="292"/>
      <c r="V1993" s="259"/>
      <c r="W1993" s="259"/>
    </row>
    <row r="1994" spans="1:23" s="247" customFormat="1" x14ac:dyDescent="0.25">
      <c r="A1994" s="232"/>
      <c r="B1994" s="283"/>
      <c r="C1994" s="284"/>
      <c r="D1994" s="283"/>
      <c r="E1994" s="284"/>
      <c r="F1994" s="284"/>
      <c r="G1994" s="285"/>
      <c r="H1994" s="285"/>
      <c r="I1994" s="285"/>
      <c r="J1994" s="286"/>
      <c r="K1994" s="285"/>
      <c r="L1994" s="285"/>
      <c r="M1994" s="285"/>
      <c r="N1994" s="283"/>
      <c r="O1994" s="287"/>
      <c r="P1994" s="288"/>
      <c r="Q1994" s="289"/>
      <c r="R1994" s="290"/>
      <c r="S1994" s="291"/>
      <c r="T1994" s="291"/>
      <c r="U1994" s="292"/>
      <c r="V1994" s="259"/>
      <c r="W1994" s="259"/>
    </row>
    <row r="1995" spans="1:23" s="247" customFormat="1" x14ac:dyDescent="0.25">
      <c r="A1995" s="232"/>
      <c r="B1995" s="283"/>
      <c r="C1995" s="284"/>
      <c r="D1995" s="283"/>
      <c r="E1995" s="284"/>
      <c r="F1995" s="284"/>
      <c r="G1995" s="285"/>
      <c r="H1995" s="285"/>
      <c r="I1995" s="285"/>
      <c r="J1995" s="286"/>
      <c r="K1995" s="285"/>
      <c r="L1995" s="285"/>
      <c r="M1995" s="285"/>
      <c r="N1995" s="283"/>
      <c r="O1995" s="287"/>
      <c r="P1995" s="288"/>
      <c r="Q1995" s="289"/>
      <c r="R1995" s="290"/>
      <c r="S1995" s="291"/>
      <c r="T1995" s="291"/>
      <c r="U1995" s="292"/>
      <c r="V1995" s="259"/>
      <c r="W1995" s="259"/>
    </row>
    <row r="1996" spans="1:23" s="247" customFormat="1" x14ac:dyDescent="0.25">
      <c r="A1996" s="232"/>
      <c r="B1996" s="283"/>
      <c r="C1996" s="284"/>
      <c r="D1996" s="283"/>
      <c r="E1996" s="284"/>
      <c r="F1996" s="284"/>
      <c r="G1996" s="285"/>
      <c r="H1996" s="285"/>
      <c r="I1996" s="285"/>
      <c r="J1996" s="286"/>
      <c r="K1996" s="285"/>
      <c r="L1996" s="285"/>
      <c r="M1996" s="285"/>
      <c r="N1996" s="283"/>
      <c r="O1996" s="287"/>
      <c r="P1996" s="288"/>
      <c r="Q1996" s="289"/>
      <c r="R1996" s="290"/>
      <c r="S1996" s="291"/>
      <c r="T1996" s="291"/>
      <c r="U1996" s="292"/>
      <c r="V1996" s="259"/>
      <c r="W1996" s="259"/>
    </row>
    <row r="1997" spans="1:23" s="247" customFormat="1" x14ac:dyDescent="0.25">
      <c r="A1997" s="232"/>
      <c r="B1997" s="283"/>
      <c r="C1997" s="284"/>
      <c r="D1997" s="283"/>
      <c r="E1997" s="284"/>
      <c r="F1997" s="284"/>
      <c r="G1997" s="285"/>
      <c r="H1997" s="285"/>
      <c r="I1997" s="285"/>
      <c r="J1997" s="286"/>
      <c r="K1997" s="285"/>
      <c r="L1997" s="285"/>
      <c r="M1997" s="285"/>
      <c r="N1997" s="283"/>
      <c r="O1997" s="287"/>
      <c r="P1997" s="288"/>
      <c r="Q1997" s="289"/>
      <c r="R1997" s="290"/>
      <c r="S1997" s="291"/>
      <c r="T1997" s="291"/>
      <c r="U1997" s="292"/>
      <c r="V1997" s="259"/>
      <c r="W1997" s="259"/>
    </row>
    <row r="1998" spans="1:23" s="247" customFormat="1" x14ac:dyDescent="0.25">
      <c r="A1998" s="232"/>
      <c r="B1998" s="283"/>
      <c r="C1998" s="284"/>
      <c r="D1998" s="283"/>
      <c r="E1998" s="284"/>
      <c r="F1998" s="284"/>
      <c r="G1998" s="285"/>
      <c r="H1998" s="285"/>
      <c r="I1998" s="285"/>
      <c r="J1998" s="286"/>
      <c r="K1998" s="285"/>
      <c r="L1998" s="285"/>
      <c r="M1998" s="285"/>
      <c r="N1998" s="283"/>
      <c r="O1998" s="287"/>
      <c r="P1998" s="288"/>
      <c r="Q1998" s="289"/>
      <c r="R1998" s="290"/>
      <c r="S1998" s="291"/>
      <c r="T1998" s="291"/>
      <c r="U1998" s="292"/>
      <c r="V1998" s="259"/>
      <c r="W1998" s="259"/>
    </row>
    <row r="1999" spans="1:23" s="247" customFormat="1" x14ac:dyDescent="0.25">
      <c r="A1999" s="232"/>
      <c r="B1999" s="283"/>
      <c r="C1999" s="284"/>
      <c r="D1999" s="283"/>
      <c r="E1999" s="284"/>
      <c r="F1999" s="284"/>
      <c r="G1999" s="285"/>
      <c r="H1999" s="285"/>
      <c r="I1999" s="285"/>
      <c r="J1999" s="286"/>
      <c r="K1999" s="285"/>
      <c r="L1999" s="285"/>
      <c r="M1999" s="285"/>
      <c r="N1999" s="283"/>
      <c r="O1999" s="287"/>
      <c r="P1999" s="288"/>
      <c r="Q1999" s="289"/>
      <c r="R1999" s="290"/>
      <c r="S1999" s="291"/>
      <c r="T1999" s="291"/>
      <c r="U1999" s="292"/>
      <c r="V1999" s="259"/>
      <c r="W1999" s="259"/>
    </row>
    <row r="2000" spans="1:23" s="247" customFormat="1" x14ac:dyDescent="0.25">
      <c r="A2000" s="232"/>
      <c r="B2000" s="283"/>
      <c r="C2000" s="284"/>
      <c r="D2000" s="283"/>
      <c r="E2000" s="284"/>
      <c r="F2000" s="284"/>
      <c r="G2000" s="285"/>
      <c r="H2000" s="285"/>
      <c r="I2000" s="285"/>
      <c r="J2000" s="286"/>
      <c r="K2000" s="285"/>
      <c r="L2000" s="285"/>
      <c r="M2000" s="285"/>
      <c r="N2000" s="283"/>
      <c r="O2000" s="287"/>
      <c r="P2000" s="288"/>
      <c r="Q2000" s="289"/>
      <c r="R2000" s="290"/>
      <c r="S2000" s="291"/>
      <c r="T2000" s="291"/>
      <c r="U2000" s="292"/>
      <c r="V2000" s="259"/>
      <c r="W2000" s="259"/>
    </row>
    <row r="2001" spans="1:23" s="247" customFormat="1" x14ac:dyDescent="0.25">
      <c r="A2001" s="232"/>
      <c r="B2001" s="283"/>
      <c r="C2001" s="284"/>
      <c r="D2001" s="283"/>
      <c r="E2001" s="284"/>
      <c r="F2001" s="284"/>
      <c r="G2001" s="285"/>
      <c r="H2001" s="285"/>
      <c r="I2001" s="285"/>
      <c r="J2001" s="286"/>
      <c r="K2001" s="285"/>
      <c r="L2001" s="285"/>
      <c r="M2001" s="285"/>
      <c r="N2001" s="283"/>
      <c r="O2001" s="287"/>
      <c r="P2001" s="288"/>
      <c r="Q2001" s="289"/>
      <c r="R2001" s="290"/>
      <c r="S2001" s="291"/>
      <c r="T2001" s="291"/>
      <c r="U2001" s="292"/>
      <c r="V2001" s="259"/>
      <c r="W2001" s="259"/>
    </row>
    <row r="2002" spans="1:23" s="247" customFormat="1" x14ac:dyDescent="0.25">
      <c r="A2002" s="232"/>
      <c r="B2002" s="283"/>
      <c r="C2002" s="284"/>
      <c r="D2002" s="283"/>
      <c r="E2002" s="284"/>
      <c r="F2002" s="284"/>
      <c r="G2002" s="285"/>
      <c r="H2002" s="285"/>
      <c r="I2002" s="285"/>
      <c r="J2002" s="286"/>
      <c r="K2002" s="285"/>
      <c r="L2002" s="285"/>
      <c r="M2002" s="285"/>
      <c r="N2002" s="283"/>
      <c r="O2002" s="287"/>
      <c r="P2002" s="288"/>
      <c r="Q2002" s="289"/>
      <c r="R2002" s="290"/>
      <c r="S2002" s="291"/>
      <c r="T2002" s="291"/>
      <c r="U2002" s="292"/>
      <c r="V2002" s="259"/>
      <c r="W2002" s="259"/>
    </row>
    <row r="2003" spans="1:23" s="247" customFormat="1" x14ac:dyDescent="0.25">
      <c r="A2003" s="232"/>
      <c r="B2003" s="283"/>
      <c r="C2003" s="284"/>
      <c r="D2003" s="283"/>
      <c r="E2003" s="259"/>
      <c r="F2003" s="259"/>
      <c r="G2003" s="274"/>
      <c r="H2003" s="274"/>
      <c r="I2003" s="274"/>
      <c r="J2003" s="275"/>
      <c r="K2003" s="274"/>
      <c r="L2003" s="274"/>
      <c r="M2003" s="274"/>
      <c r="N2003" s="273"/>
      <c r="O2003" s="287"/>
      <c r="P2003" s="288"/>
      <c r="Q2003" s="289"/>
      <c r="R2003" s="290"/>
      <c r="S2003" s="291"/>
      <c r="T2003" s="291"/>
      <c r="U2003" s="292"/>
      <c r="V2003" s="259"/>
      <c r="W2003" s="259"/>
    </row>
    <row r="2004" spans="1:23" s="247" customFormat="1" x14ac:dyDescent="0.25">
      <c r="A2004" s="232"/>
      <c r="B2004" s="283"/>
      <c r="C2004" s="284"/>
      <c r="D2004" s="283"/>
      <c r="E2004" s="284"/>
      <c r="F2004" s="284"/>
      <c r="G2004" s="285"/>
      <c r="H2004" s="285"/>
      <c r="I2004" s="285"/>
      <c r="J2004" s="286"/>
      <c r="K2004" s="285"/>
      <c r="L2004" s="285"/>
      <c r="M2004" s="285"/>
      <c r="N2004" s="283"/>
      <c r="O2004" s="287"/>
      <c r="P2004" s="288"/>
      <c r="Q2004" s="289"/>
      <c r="R2004" s="290"/>
      <c r="S2004" s="291"/>
      <c r="T2004" s="291"/>
      <c r="U2004" s="292"/>
      <c r="V2004" s="259"/>
      <c r="W2004" s="259"/>
    </row>
    <row r="2005" spans="1:23" s="247" customFormat="1" x14ac:dyDescent="0.25">
      <c r="A2005" s="232"/>
      <c r="B2005" s="283"/>
      <c r="C2005" s="284"/>
      <c r="D2005" s="283"/>
      <c r="E2005" s="284"/>
      <c r="F2005" s="284"/>
      <c r="G2005" s="285"/>
      <c r="H2005" s="285"/>
      <c r="I2005" s="285"/>
      <c r="J2005" s="286"/>
      <c r="K2005" s="285"/>
      <c r="L2005" s="285"/>
      <c r="M2005" s="285"/>
      <c r="N2005" s="283"/>
      <c r="O2005" s="287"/>
      <c r="P2005" s="288"/>
      <c r="Q2005" s="289"/>
      <c r="R2005" s="290"/>
      <c r="S2005" s="291"/>
      <c r="T2005" s="291"/>
      <c r="U2005" s="292"/>
      <c r="V2005" s="259"/>
      <c r="W2005" s="259"/>
    </row>
    <row r="2006" spans="1:23" s="247" customFormat="1" x14ac:dyDescent="0.25">
      <c r="A2006" s="232"/>
      <c r="B2006" s="283"/>
      <c r="C2006" s="284"/>
      <c r="D2006" s="283"/>
      <c r="E2006" s="284"/>
      <c r="F2006" s="284"/>
      <c r="G2006" s="285"/>
      <c r="H2006" s="285"/>
      <c r="I2006" s="285"/>
      <c r="J2006" s="286"/>
      <c r="K2006" s="285"/>
      <c r="L2006" s="285"/>
      <c r="M2006" s="285"/>
      <c r="N2006" s="283"/>
      <c r="O2006" s="287"/>
      <c r="P2006" s="288"/>
      <c r="Q2006" s="289"/>
      <c r="R2006" s="290"/>
      <c r="S2006" s="291"/>
      <c r="T2006" s="291"/>
      <c r="U2006" s="292"/>
      <c r="V2006" s="259"/>
      <c r="W2006" s="259"/>
    </row>
    <row r="2007" spans="1:23" s="247" customFormat="1" x14ac:dyDescent="0.25">
      <c r="A2007" s="232"/>
      <c r="B2007" s="283"/>
      <c r="C2007" s="284"/>
      <c r="D2007" s="283"/>
      <c r="E2007" s="284"/>
      <c r="F2007" s="284"/>
      <c r="G2007" s="285"/>
      <c r="H2007" s="285"/>
      <c r="I2007" s="285"/>
      <c r="J2007" s="286"/>
      <c r="K2007" s="285"/>
      <c r="L2007" s="285"/>
      <c r="M2007" s="285"/>
      <c r="N2007" s="283"/>
      <c r="O2007" s="287"/>
      <c r="P2007" s="288"/>
      <c r="Q2007" s="289"/>
      <c r="R2007" s="290"/>
      <c r="S2007" s="291"/>
      <c r="T2007" s="291"/>
      <c r="U2007" s="292"/>
      <c r="V2007" s="259"/>
      <c r="W2007" s="259"/>
    </row>
    <row r="2008" spans="1:23" s="247" customFormat="1" x14ac:dyDescent="0.25">
      <c r="A2008" s="232"/>
      <c r="B2008" s="283"/>
      <c r="C2008" s="284"/>
      <c r="D2008" s="283"/>
      <c r="E2008" s="284"/>
      <c r="F2008" s="284"/>
      <c r="G2008" s="285"/>
      <c r="H2008" s="285"/>
      <c r="I2008" s="285"/>
      <c r="J2008" s="286"/>
      <c r="K2008" s="285"/>
      <c r="L2008" s="285"/>
      <c r="M2008" s="285"/>
      <c r="N2008" s="283"/>
      <c r="O2008" s="287"/>
      <c r="P2008" s="288"/>
      <c r="Q2008" s="289"/>
      <c r="R2008" s="290"/>
      <c r="S2008" s="291"/>
      <c r="T2008" s="291"/>
      <c r="U2008" s="292"/>
      <c r="V2008" s="259"/>
      <c r="W2008" s="259"/>
    </row>
    <row r="2009" spans="1:23" s="247" customFormat="1" x14ac:dyDescent="0.25">
      <c r="A2009" s="232"/>
      <c r="B2009" s="283"/>
      <c r="C2009" s="284"/>
      <c r="D2009" s="283"/>
      <c r="E2009" s="284"/>
      <c r="F2009" s="284"/>
      <c r="G2009" s="285"/>
      <c r="H2009" s="285"/>
      <c r="I2009" s="285"/>
      <c r="J2009" s="286"/>
      <c r="K2009" s="285"/>
      <c r="L2009" s="285"/>
      <c r="M2009" s="285"/>
      <c r="N2009" s="283"/>
      <c r="O2009" s="287"/>
      <c r="P2009" s="288"/>
      <c r="Q2009" s="289"/>
      <c r="R2009" s="290"/>
      <c r="S2009" s="291"/>
      <c r="T2009" s="291"/>
      <c r="U2009" s="292"/>
      <c r="V2009" s="259"/>
      <c r="W2009" s="259"/>
    </row>
    <row r="2010" spans="1:23" s="247" customFormat="1" x14ac:dyDescent="0.25">
      <c r="A2010" s="232"/>
      <c r="B2010" s="283"/>
      <c r="C2010" s="284"/>
      <c r="D2010" s="283"/>
      <c r="E2010" s="284"/>
      <c r="F2010" s="284"/>
      <c r="G2010" s="285"/>
      <c r="H2010" s="285"/>
      <c r="I2010" s="285"/>
      <c r="J2010" s="286"/>
      <c r="K2010" s="285"/>
      <c r="L2010" s="285"/>
      <c r="M2010" s="285"/>
      <c r="N2010" s="283"/>
      <c r="O2010" s="287"/>
      <c r="P2010" s="288"/>
      <c r="Q2010" s="289"/>
      <c r="R2010" s="290"/>
      <c r="S2010" s="291"/>
      <c r="T2010" s="291"/>
      <c r="U2010" s="292"/>
      <c r="V2010" s="259"/>
      <c r="W2010" s="259"/>
    </row>
    <row r="2011" spans="1:23" s="247" customFormat="1" x14ac:dyDescent="0.25">
      <c r="A2011" s="232"/>
      <c r="B2011" s="283"/>
      <c r="C2011" s="284"/>
      <c r="D2011" s="283"/>
      <c r="E2011" s="284"/>
      <c r="F2011" s="284"/>
      <c r="G2011" s="285"/>
      <c r="H2011" s="285"/>
      <c r="I2011" s="285"/>
      <c r="J2011" s="286"/>
      <c r="K2011" s="285"/>
      <c r="L2011" s="285"/>
      <c r="M2011" s="285"/>
      <c r="N2011" s="283"/>
      <c r="O2011" s="287"/>
      <c r="P2011" s="288"/>
      <c r="Q2011" s="289"/>
      <c r="R2011" s="290"/>
      <c r="S2011" s="291"/>
      <c r="T2011" s="291"/>
      <c r="U2011" s="292"/>
      <c r="V2011" s="259"/>
      <c r="W2011" s="259"/>
    </row>
    <row r="2012" spans="1:23" s="247" customFormat="1" x14ac:dyDescent="0.25">
      <c r="A2012" s="232"/>
      <c r="B2012" s="283"/>
      <c r="C2012" s="284"/>
      <c r="D2012" s="283"/>
      <c r="E2012" s="284"/>
      <c r="F2012" s="284"/>
      <c r="G2012" s="285"/>
      <c r="H2012" s="285"/>
      <c r="I2012" s="285"/>
      <c r="J2012" s="286"/>
      <c r="K2012" s="285"/>
      <c r="L2012" s="285"/>
      <c r="M2012" s="285"/>
      <c r="N2012" s="283"/>
      <c r="O2012" s="287"/>
      <c r="P2012" s="288"/>
      <c r="Q2012" s="289"/>
      <c r="R2012" s="290"/>
      <c r="S2012" s="291"/>
      <c r="T2012" s="291"/>
      <c r="U2012" s="292"/>
      <c r="V2012" s="259"/>
      <c r="W2012" s="259"/>
    </row>
    <row r="2013" spans="1:23" s="247" customFormat="1" x14ac:dyDescent="0.25">
      <c r="A2013" s="232"/>
      <c r="B2013" s="283"/>
      <c r="C2013" s="284"/>
      <c r="D2013" s="283"/>
      <c r="E2013" s="284"/>
      <c r="F2013" s="284"/>
      <c r="G2013" s="285"/>
      <c r="H2013" s="285"/>
      <c r="I2013" s="285"/>
      <c r="J2013" s="286"/>
      <c r="K2013" s="285"/>
      <c r="L2013" s="285"/>
      <c r="M2013" s="285"/>
      <c r="N2013" s="283"/>
      <c r="O2013" s="287"/>
      <c r="P2013" s="288"/>
      <c r="Q2013" s="289"/>
      <c r="R2013" s="290"/>
      <c r="S2013" s="291"/>
      <c r="T2013" s="291"/>
      <c r="U2013" s="292"/>
      <c r="V2013" s="259"/>
      <c r="W2013" s="259"/>
    </row>
    <row r="2014" spans="1:23" s="247" customFormat="1" x14ac:dyDescent="0.25">
      <c r="A2014" s="232"/>
      <c r="B2014" s="283"/>
      <c r="C2014" s="284"/>
      <c r="D2014" s="283"/>
      <c r="E2014" s="284"/>
      <c r="F2014" s="284"/>
      <c r="G2014" s="285"/>
      <c r="H2014" s="285"/>
      <c r="I2014" s="285"/>
      <c r="J2014" s="286"/>
      <c r="K2014" s="285"/>
      <c r="L2014" s="285"/>
      <c r="M2014" s="285"/>
      <c r="N2014" s="283"/>
      <c r="O2014" s="287"/>
      <c r="P2014" s="288"/>
      <c r="Q2014" s="289"/>
      <c r="R2014" s="290"/>
      <c r="S2014" s="291"/>
      <c r="T2014" s="291"/>
      <c r="U2014" s="292"/>
      <c r="V2014" s="259"/>
      <c r="W2014" s="259"/>
    </row>
    <row r="2015" spans="1:23" s="247" customFormat="1" x14ac:dyDescent="0.25">
      <c r="A2015" s="232"/>
      <c r="B2015" s="283"/>
      <c r="C2015" s="284"/>
      <c r="D2015" s="283"/>
      <c r="E2015" s="284"/>
      <c r="F2015" s="284"/>
      <c r="G2015" s="285"/>
      <c r="H2015" s="285"/>
      <c r="I2015" s="285"/>
      <c r="J2015" s="286"/>
      <c r="K2015" s="285"/>
      <c r="L2015" s="285"/>
      <c r="M2015" s="285"/>
      <c r="N2015" s="283"/>
      <c r="O2015" s="287"/>
      <c r="P2015" s="288"/>
      <c r="Q2015" s="289"/>
      <c r="R2015" s="290"/>
      <c r="S2015" s="291"/>
      <c r="T2015" s="291"/>
      <c r="U2015" s="292"/>
      <c r="V2015" s="259"/>
      <c r="W2015" s="296"/>
    </row>
    <row r="2016" spans="1:23" s="247" customFormat="1" x14ac:dyDescent="0.25">
      <c r="A2016" s="232"/>
      <c r="B2016" s="283"/>
      <c r="C2016" s="284"/>
      <c r="D2016" s="283"/>
      <c r="E2016" s="284"/>
      <c r="F2016" s="284"/>
      <c r="G2016" s="285"/>
      <c r="H2016" s="285"/>
      <c r="I2016" s="285"/>
      <c r="J2016" s="286"/>
      <c r="K2016" s="285"/>
      <c r="L2016" s="285"/>
      <c r="M2016" s="285"/>
      <c r="N2016" s="283"/>
      <c r="O2016" s="287"/>
      <c r="P2016" s="288"/>
      <c r="Q2016" s="289"/>
      <c r="R2016" s="290"/>
      <c r="S2016" s="291"/>
      <c r="T2016" s="291"/>
      <c r="U2016" s="292"/>
      <c r="V2016" s="259"/>
      <c r="W2016" s="259"/>
    </row>
    <row r="2017" spans="1:23" s="247" customFormat="1" x14ac:dyDescent="0.25">
      <c r="A2017" s="232"/>
      <c r="B2017" s="283"/>
      <c r="C2017" s="284"/>
      <c r="D2017" s="283"/>
      <c r="E2017" s="284"/>
      <c r="F2017" s="284"/>
      <c r="G2017" s="285"/>
      <c r="H2017" s="285"/>
      <c r="I2017" s="285"/>
      <c r="J2017" s="286"/>
      <c r="K2017" s="285"/>
      <c r="L2017" s="285"/>
      <c r="M2017" s="285"/>
      <c r="N2017" s="283"/>
      <c r="O2017" s="287"/>
      <c r="P2017" s="288"/>
      <c r="Q2017" s="289"/>
      <c r="R2017" s="290"/>
      <c r="S2017" s="291"/>
      <c r="T2017" s="291"/>
      <c r="U2017" s="292"/>
      <c r="V2017" s="259"/>
      <c r="W2017" s="259"/>
    </row>
    <row r="2018" spans="1:23" s="247" customFormat="1" x14ac:dyDescent="0.25">
      <c r="A2018" s="232"/>
      <c r="B2018" s="283"/>
      <c r="C2018" s="284"/>
      <c r="D2018" s="283"/>
      <c r="E2018" s="284"/>
      <c r="F2018" s="284"/>
      <c r="G2018" s="285"/>
      <c r="H2018" s="285"/>
      <c r="I2018" s="285"/>
      <c r="J2018" s="286"/>
      <c r="K2018" s="285"/>
      <c r="L2018" s="285"/>
      <c r="M2018" s="285"/>
      <c r="N2018" s="283"/>
      <c r="O2018" s="287"/>
      <c r="P2018" s="288"/>
      <c r="Q2018" s="289"/>
      <c r="R2018" s="290"/>
      <c r="S2018" s="291"/>
      <c r="T2018" s="291"/>
      <c r="U2018" s="292"/>
      <c r="V2018" s="259"/>
      <c r="W2018" s="259"/>
    </row>
    <row r="2019" spans="1:23" s="247" customFormat="1" x14ac:dyDescent="0.25">
      <c r="A2019" s="232"/>
      <c r="B2019" s="283"/>
      <c r="C2019" s="284"/>
      <c r="D2019" s="283"/>
      <c r="E2019" s="284"/>
      <c r="F2019" s="284"/>
      <c r="G2019" s="285"/>
      <c r="H2019" s="285"/>
      <c r="I2019" s="285"/>
      <c r="J2019" s="286"/>
      <c r="K2019" s="285"/>
      <c r="L2019" s="285"/>
      <c r="M2019" s="285"/>
      <c r="N2019" s="283"/>
      <c r="O2019" s="287"/>
      <c r="P2019" s="288"/>
      <c r="Q2019" s="289"/>
      <c r="R2019" s="290"/>
      <c r="S2019" s="291"/>
      <c r="T2019" s="291"/>
      <c r="U2019" s="292"/>
      <c r="V2019" s="259"/>
      <c r="W2019" s="259"/>
    </row>
    <row r="2020" spans="1:23" s="247" customFormat="1" x14ac:dyDescent="0.25">
      <c r="A2020" s="232"/>
      <c r="B2020" s="283"/>
      <c r="C2020" s="284"/>
      <c r="D2020" s="283"/>
      <c r="E2020" s="284"/>
      <c r="F2020" s="284"/>
      <c r="G2020" s="285"/>
      <c r="H2020" s="285"/>
      <c r="I2020" s="285"/>
      <c r="J2020" s="286"/>
      <c r="K2020" s="285"/>
      <c r="L2020" s="285"/>
      <c r="M2020" s="285"/>
      <c r="N2020" s="283"/>
      <c r="O2020" s="287"/>
      <c r="P2020" s="288"/>
      <c r="Q2020" s="289"/>
      <c r="R2020" s="297"/>
      <c r="S2020" s="284"/>
      <c r="T2020" s="291"/>
      <c r="U2020" s="292"/>
      <c r="V2020" s="259"/>
      <c r="W2020" s="259"/>
    </row>
    <row r="2021" spans="1:23" s="247" customFormat="1" x14ac:dyDescent="0.25">
      <c r="A2021" s="232"/>
      <c r="B2021" s="283"/>
      <c r="C2021" s="284"/>
      <c r="D2021" s="283"/>
      <c r="E2021" s="284"/>
      <c r="F2021" s="284"/>
      <c r="G2021" s="285"/>
      <c r="H2021" s="285"/>
      <c r="I2021" s="285"/>
      <c r="J2021" s="286"/>
      <c r="K2021" s="285"/>
      <c r="L2021" s="285"/>
      <c r="M2021" s="285"/>
      <c r="N2021" s="283"/>
      <c r="O2021" s="287"/>
      <c r="P2021" s="288"/>
      <c r="Q2021" s="289"/>
      <c r="R2021" s="297"/>
      <c r="S2021" s="284"/>
      <c r="T2021" s="291"/>
      <c r="U2021" s="292"/>
      <c r="V2021" s="259"/>
      <c r="W2021" s="259"/>
    </row>
    <row r="2022" spans="1:23" s="247" customFormat="1" x14ac:dyDescent="0.25">
      <c r="A2022" s="232"/>
      <c r="B2022" s="283"/>
      <c r="C2022" s="284"/>
      <c r="D2022" s="283"/>
      <c r="E2022" s="284"/>
      <c r="F2022" s="284"/>
      <c r="G2022" s="285"/>
      <c r="H2022" s="285"/>
      <c r="I2022" s="285"/>
      <c r="J2022" s="286"/>
      <c r="K2022" s="285"/>
      <c r="L2022" s="285"/>
      <c r="M2022" s="285"/>
      <c r="N2022" s="283"/>
      <c r="O2022" s="287"/>
      <c r="P2022" s="288"/>
      <c r="Q2022" s="289"/>
      <c r="R2022" s="290"/>
      <c r="S2022" s="291"/>
      <c r="T2022" s="291"/>
      <c r="U2022" s="292"/>
      <c r="V2022" s="259"/>
      <c r="W2022" s="259"/>
    </row>
    <row r="2023" spans="1:23" s="247" customFormat="1" x14ac:dyDescent="0.25">
      <c r="A2023" s="232"/>
      <c r="B2023" s="283"/>
      <c r="C2023" s="284"/>
      <c r="D2023" s="283"/>
      <c r="E2023" s="284"/>
      <c r="F2023" s="284"/>
      <c r="G2023" s="285"/>
      <c r="H2023" s="285"/>
      <c r="I2023" s="285"/>
      <c r="J2023" s="286"/>
      <c r="K2023" s="285"/>
      <c r="L2023" s="285"/>
      <c r="M2023" s="285"/>
      <c r="N2023" s="283"/>
      <c r="O2023" s="287"/>
      <c r="P2023" s="288"/>
      <c r="Q2023" s="289"/>
      <c r="R2023" s="290"/>
      <c r="S2023" s="291"/>
      <c r="T2023" s="291"/>
      <c r="U2023" s="292"/>
      <c r="V2023" s="259"/>
      <c r="W2023" s="259"/>
    </row>
    <row r="2024" spans="1:23" s="247" customFormat="1" x14ac:dyDescent="0.25">
      <c r="A2024" s="232"/>
      <c r="B2024" s="283"/>
      <c r="C2024" s="284"/>
      <c r="D2024" s="283"/>
      <c r="E2024" s="284"/>
      <c r="F2024" s="284"/>
      <c r="G2024" s="285"/>
      <c r="H2024" s="285"/>
      <c r="I2024" s="285"/>
      <c r="J2024" s="286"/>
      <c r="K2024" s="285"/>
      <c r="L2024" s="285"/>
      <c r="M2024" s="285"/>
      <c r="N2024" s="283"/>
      <c r="O2024" s="287"/>
      <c r="P2024" s="288"/>
      <c r="Q2024" s="289"/>
      <c r="R2024" s="290"/>
      <c r="S2024" s="291"/>
      <c r="T2024" s="291"/>
      <c r="U2024" s="292"/>
      <c r="V2024" s="259"/>
      <c r="W2024" s="259"/>
    </row>
    <row r="2025" spans="1:23" s="247" customFormat="1" x14ac:dyDescent="0.25">
      <c r="A2025" s="232"/>
      <c r="B2025" s="283"/>
      <c r="C2025" s="284"/>
      <c r="D2025" s="283"/>
      <c r="E2025" s="284"/>
      <c r="F2025" s="284"/>
      <c r="G2025" s="285"/>
      <c r="H2025" s="285"/>
      <c r="I2025" s="285"/>
      <c r="J2025" s="286"/>
      <c r="K2025" s="285"/>
      <c r="L2025" s="285"/>
      <c r="M2025" s="285"/>
      <c r="N2025" s="283"/>
      <c r="O2025" s="287"/>
      <c r="P2025" s="288"/>
      <c r="Q2025" s="289"/>
      <c r="R2025" s="290"/>
      <c r="S2025" s="291"/>
      <c r="T2025" s="291"/>
      <c r="U2025" s="292"/>
      <c r="V2025" s="259"/>
      <c r="W2025" s="259"/>
    </row>
    <row r="2026" spans="1:23" s="247" customFormat="1" x14ac:dyDescent="0.25">
      <c r="A2026" s="232"/>
      <c r="B2026" s="283"/>
      <c r="C2026" s="284"/>
      <c r="D2026" s="283"/>
      <c r="E2026" s="284"/>
      <c r="F2026" s="284"/>
      <c r="G2026" s="285"/>
      <c r="H2026" s="285"/>
      <c r="I2026" s="285"/>
      <c r="J2026" s="286"/>
      <c r="K2026" s="285"/>
      <c r="L2026" s="285"/>
      <c r="M2026" s="285"/>
      <c r="N2026" s="283"/>
      <c r="O2026" s="287"/>
      <c r="P2026" s="288"/>
      <c r="Q2026" s="289"/>
      <c r="R2026" s="290"/>
      <c r="S2026" s="291"/>
      <c r="T2026" s="291"/>
      <c r="U2026" s="292"/>
      <c r="V2026" s="259"/>
      <c r="W2026" s="259"/>
    </row>
    <row r="2027" spans="1:23" s="247" customFormat="1" x14ac:dyDescent="0.25">
      <c r="A2027" s="232"/>
      <c r="B2027" s="283"/>
      <c r="C2027" s="284"/>
      <c r="D2027" s="283"/>
      <c r="E2027" s="284"/>
      <c r="F2027" s="284"/>
      <c r="G2027" s="285"/>
      <c r="H2027" s="285"/>
      <c r="I2027" s="285"/>
      <c r="J2027" s="286"/>
      <c r="K2027" s="285"/>
      <c r="L2027" s="285"/>
      <c r="M2027" s="285"/>
      <c r="N2027" s="283"/>
      <c r="O2027" s="287"/>
      <c r="P2027" s="288"/>
      <c r="Q2027" s="289"/>
      <c r="R2027" s="290"/>
      <c r="S2027" s="291"/>
      <c r="T2027" s="291"/>
      <c r="U2027" s="292"/>
      <c r="V2027" s="259"/>
      <c r="W2027" s="259"/>
    </row>
    <row r="2028" spans="1:23" s="247" customFormat="1" x14ac:dyDescent="0.25">
      <c r="A2028" s="232"/>
      <c r="B2028" s="283"/>
      <c r="C2028" s="284"/>
      <c r="D2028" s="283"/>
      <c r="E2028" s="284"/>
      <c r="F2028" s="284"/>
      <c r="G2028" s="285"/>
      <c r="H2028" s="285"/>
      <c r="I2028" s="285"/>
      <c r="J2028" s="286"/>
      <c r="K2028" s="285"/>
      <c r="L2028" s="285"/>
      <c r="M2028" s="285"/>
      <c r="N2028" s="283"/>
      <c r="O2028" s="287"/>
      <c r="P2028" s="288"/>
      <c r="Q2028" s="289"/>
      <c r="R2028" s="290"/>
      <c r="S2028" s="291"/>
      <c r="T2028" s="291"/>
      <c r="U2028" s="292"/>
      <c r="V2028" s="259"/>
      <c r="W2028" s="259"/>
    </row>
    <row r="2029" spans="1:23" s="247" customFormat="1" x14ac:dyDescent="0.25">
      <c r="A2029" s="232"/>
      <c r="B2029" s="283"/>
      <c r="C2029" s="284"/>
      <c r="D2029" s="283"/>
      <c r="E2029" s="284"/>
      <c r="F2029" s="284"/>
      <c r="G2029" s="285"/>
      <c r="H2029" s="285"/>
      <c r="I2029" s="285"/>
      <c r="J2029" s="286"/>
      <c r="K2029" s="285"/>
      <c r="L2029" s="285"/>
      <c r="M2029" s="285"/>
      <c r="N2029" s="283"/>
      <c r="O2029" s="287"/>
      <c r="P2029" s="288"/>
      <c r="Q2029" s="289"/>
      <c r="R2029" s="290"/>
      <c r="S2029" s="291"/>
      <c r="T2029" s="291"/>
      <c r="U2029" s="292"/>
      <c r="V2029" s="259"/>
      <c r="W2029" s="259"/>
    </row>
    <row r="2030" spans="1:23" s="247" customFormat="1" x14ac:dyDescent="0.25">
      <c r="A2030" s="232"/>
      <c r="B2030" s="283"/>
      <c r="C2030" s="284"/>
      <c r="D2030" s="283"/>
      <c r="E2030" s="284"/>
      <c r="F2030" s="284"/>
      <c r="G2030" s="285"/>
      <c r="H2030" s="285"/>
      <c r="I2030" s="285"/>
      <c r="J2030" s="286"/>
      <c r="K2030" s="285"/>
      <c r="L2030" s="285"/>
      <c r="M2030" s="285"/>
      <c r="N2030" s="283"/>
      <c r="O2030" s="287"/>
      <c r="P2030" s="288"/>
      <c r="Q2030" s="289"/>
      <c r="R2030" s="290"/>
      <c r="S2030" s="291"/>
      <c r="T2030" s="291"/>
      <c r="U2030" s="292"/>
      <c r="V2030" s="259"/>
      <c r="W2030" s="259"/>
    </row>
    <row r="2031" spans="1:23" s="247" customFormat="1" x14ac:dyDescent="0.25">
      <c r="A2031" s="232"/>
      <c r="B2031" s="283"/>
      <c r="C2031" s="284"/>
      <c r="D2031" s="283"/>
      <c r="E2031" s="284"/>
      <c r="F2031" s="284"/>
      <c r="G2031" s="285"/>
      <c r="H2031" s="285"/>
      <c r="I2031" s="285"/>
      <c r="J2031" s="286"/>
      <c r="K2031" s="285"/>
      <c r="L2031" s="285"/>
      <c r="M2031" s="285"/>
      <c r="N2031" s="283"/>
      <c r="O2031" s="287"/>
      <c r="P2031" s="288"/>
      <c r="Q2031" s="289"/>
      <c r="R2031" s="290"/>
      <c r="S2031" s="291"/>
      <c r="T2031" s="291"/>
      <c r="U2031" s="292"/>
      <c r="V2031" s="259"/>
      <c r="W2031" s="259"/>
    </row>
    <row r="2032" spans="1:23" s="247" customFormat="1" x14ac:dyDescent="0.25">
      <c r="A2032" s="232"/>
      <c r="B2032" s="283"/>
      <c r="C2032" s="284"/>
      <c r="D2032" s="283"/>
      <c r="E2032" s="284"/>
      <c r="F2032" s="284"/>
      <c r="G2032" s="285"/>
      <c r="H2032" s="285"/>
      <c r="I2032" s="285"/>
      <c r="J2032" s="286"/>
      <c r="K2032" s="285"/>
      <c r="L2032" s="285"/>
      <c r="M2032" s="285"/>
      <c r="N2032" s="283"/>
      <c r="O2032" s="287"/>
      <c r="P2032" s="288"/>
      <c r="Q2032" s="289"/>
      <c r="R2032" s="290"/>
      <c r="S2032" s="291"/>
      <c r="T2032" s="291"/>
      <c r="U2032" s="292"/>
      <c r="V2032" s="259"/>
      <c r="W2032" s="259"/>
    </row>
    <row r="2033" spans="1:23" s="247" customFormat="1" x14ac:dyDescent="0.25">
      <c r="A2033" s="232"/>
      <c r="B2033" s="283"/>
      <c r="C2033" s="284"/>
      <c r="D2033" s="283"/>
      <c r="E2033" s="284"/>
      <c r="F2033" s="284"/>
      <c r="G2033" s="285"/>
      <c r="H2033" s="285"/>
      <c r="I2033" s="285"/>
      <c r="J2033" s="286"/>
      <c r="K2033" s="285"/>
      <c r="L2033" s="285"/>
      <c r="M2033" s="285"/>
      <c r="N2033" s="283"/>
      <c r="O2033" s="287"/>
      <c r="P2033" s="288"/>
      <c r="Q2033" s="289"/>
      <c r="R2033" s="290"/>
      <c r="S2033" s="291"/>
      <c r="T2033" s="291"/>
      <c r="U2033" s="292"/>
      <c r="V2033" s="259"/>
      <c r="W2033" s="259"/>
    </row>
    <row r="2034" spans="1:23" s="247" customFormat="1" x14ac:dyDescent="0.25">
      <c r="A2034" s="232"/>
      <c r="B2034" s="283"/>
      <c r="C2034" s="284"/>
      <c r="D2034" s="283"/>
      <c r="E2034" s="284"/>
      <c r="F2034" s="284"/>
      <c r="G2034" s="285"/>
      <c r="H2034" s="285"/>
      <c r="I2034" s="285"/>
      <c r="J2034" s="286"/>
      <c r="K2034" s="285"/>
      <c r="L2034" s="285"/>
      <c r="M2034" s="285"/>
      <c r="N2034" s="283"/>
      <c r="O2034" s="287"/>
      <c r="P2034" s="288"/>
      <c r="Q2034" s="289"/>
      <c r="R2034" s="290"/>
      <c r="S2034" s="291"/>
      <c r="T2034" s="291"/>
      <c r="U2034" s="292"/>
      <c r="V2034" s="259"/>
      <c r="W2034" s="259"/>
    </row>
    <row r="2035" spans="1:23" s="247" customFormat="1" x14ac:dyDescent="0.25">
      <c r="A2035" s="232"/>
      <c r="B2035" s="283"/>
      <c r="C2035" s="284"/>
      <c r="D2035" s="283"/>
      <c r="E2035" s="284"/>
      <c r="F2035" s="284"/>
      <c r="G2035" s="285"/>
      <c r="H2035" s="285"/>
      <c r="I2035" s="285"/>
      <c r="J2035" s="286"/>
      <c r="K2035" s="285"/>
      <c r="L2035" s="285"/>
      <c r="M2035" s="285"/>
      <c r="N2035" s="283"/>
      <c r="O2035" s="287"/>
      <c r="P2035" s="288"/>
      <c r="Q2035" s="289"/>
      <c r="R2035" s="290"/>
      <c r="S2035" s="291"/>
      <c r="T2035" s="291"/>
      <c r="U2035" s="292"/>
      <c r="V2035" s="259"/>
      <c r="W2035" s="259"/>
    </row>
    <row r="2036" spans="1:23" s="247" customFormat="1" x14ac:dyDescent="0.25">
      <c r="A2036" s="232"/>
      <c r="B2036" s="283"/>
      <c r="C2036" s="284"/>
      <c r="D2036" s="283"/>
      <c r="E2036" s="284"/>
      <c r="F2036" s="284"/>
      <c r="G2036" s="285"/>
      <c r="H2036" s="285"/>
      <c r="I2036" s="285"/>
      <c r="J2036" s="286"/>
      <c r="K2036" s="285"/>
      <c r="L2036" s="285"/>
      <c r="M2036" s="285"/>
      <c r="N2036" s="283"/>
      <c r="O2036" s="287"/>
      <c r="P2036" s="288"/>
      <c r="Q2036" s="289"/>
      <c r="R2036" s="290"/>
      <c r="S2036" s="291"/>
      <c r="T2036" s="291"/>
      <c r="U2036" s="292"/>
      <c r="V2036" s="259"/>
      <c r="W2036" s="259"/>
    </row>
    <row r="2037" spans="1:23" s="247" customFormat="1" x14ac:dyDescent="0.25">
      <c r="A2037" s="232"/>
      <c r="B2037" s="283"/>
      <c r="C2037" s="284"/>
      <c r="D2037" s="283"/>
      <c r="E2037" s="284"/>
      <c r="F2037" s="284"/>
      <c r="G2037" s="285"/>
      <c r="H2037" s="285"/>
      <c r="I2037" s="285"/>
      <c r="J2037" s="286"/>
      <c r="K2037" s="285"/>
      <c r="L2037" s="285"/>
      <c r="M2037" s="285"/>
      <c r="N2037" s="283"/>
      <c r="O2037" s="287"/>
      <c r="P2037" s="288"/>
      <c r="Q2037" s="289"/>
      <c r="R2037" s="290"/>
      <c r="S2037" s="291"/>
      <c r="T2037" s="291"/>
      <c r="U2037" s="292"/>
      <c r="V2037" s="259"/>
      <c r="W2037" s="259"/>
    </row>
    <row r="2038" spans="1:23" s="247" customFormat="1" x14ac:dyDescent="0.25">
      <c r="A2038" s="232"/>
      <c r="B2038" s="283"/>
      <c r="C2038" s="284"/>
      <c r="D2038" s="283"/>
      <c r="E2038" s="284"/>
      <c r="F2038" s="284"/>
      <c r="G2038" s="285"/>
      <c r="H2038" s="285"/>
      <c r="I2038" s="285"/>
      <c r="J2038" s="286"/>
      <c r="K2038" s="285"/>
      <c r="L2038" s="285"/>
      <c r="M2038" s="285"/>
      <c r="N2038" s="283"/>
      <c r="O2038" s="287"/>
      <c r="P2038" s="288"/>
      <c r="Q2038" s="289"/>
      <c r="R2038" s="290"/>
      <c r="S2038" s="291"/>
      <c r="T2038" s="291"/>
      <c r="U2038" s="292"/>
      <c r="V2038" s="259"/>
      <c r="W2038" s="259"/>
    </row>
    <row r="2039" spans="1:23" s="247" customFormat="1" x14ac:dyDescent="0.25">
      <c r="A2039" s="232"/>
      <c r="B2039" s="283"/>
      <c r="C2039" s="284"/>
      <c r="D2039" s="283"/>
      <c r="E2039" s="284"/>
      <c r="F2039" s="284"/>
      <c r="G2039" s="285"/>
      <c r="H2039" s="285"/>
      <c r="I2039" s="285"/>
      <c r="J2039" s="286"/>
      <c r="K2039" s="285"/>
      <c r="L2039" s="285"/>
      <c r="M2039" s="285"/>
      <c r="N2039" s="283"/>
      <c r="O2039" s="287"/>
      <c r="P2039" s="288"/>
      <c r="Q2039" s="289"/>
      <c r="R2039" s="290"/>
      <c r="S2039" s="291"/>
      <c r="T2039" s="291"/>
      <c r="U2039" s="292"/>
      <c r="V2039" s="259"/>
      <c r="W2039" s="268"/>
    </row>
    <row r="2040" spans="1:23" s="247" customFormat="1" x14ac:dyDescent="0.25">
      <c r="A2040" s="232"/>
      <c r="B2040" s="283"/>
      <c r="C2040" s="284"/>
      <c r="D2040" s="283"/>
      <c r="E2040" s="284"/>
      <c r="F2040" s="284"/>
      <c r="G2040" s="285"/>
      <c r="H2040" s="285"/>
      <c r="I2040" s="285"/>
      <c r="J2040" s="286"/>
      <c r="K2040" s="285"/>
      <c r="L2040" s="285"/>
      <c r="M2040" s="285"/>
      <c r="N2040" s="283"/>
      <c r="O2040" s="287"/>
      <c r="P2040" s="288"/>
      <c r="Q2040" s="289"/>
      <c r="R2040" s="290"/>
      <c r="S2040" s="291"/>
      <c r="T2040" s="291"/>
      <c r="U2040" s="292"/>
      <c r="V2040" s="259"/>
      <c r="W2040" s="259"/>
    </row>
    <row r="2041" spans="1:23" s="247" customFormat="1" x14ac:dyDescent="0.25">
      <c r="A2041" s="232"/>
      <c r="B2041" s="283"/>
      <c r="C2041" s="284"/>
      <c r="D2041" s="283"/>
      <c r="E2041" s="284"/>
      <c r="F2041" s="284"/>
      <c r="G2041" s="285"/>
      <c r="H2041" s="285"/>
      <c r="I2041" s="285"/>
      <c r="J2041" s="286"/>
      <c r="K2041" s="285"/>
      <c r="L2041" s="285"/>
      <c r="M2041" s="285"/>
      <c r="N2041" s="283"/>
      <c r="O2041" s="287"/>
      <c r="P2041" s="288"/>
      <c r="Q2041" s="289"/>
      <c r="R2041" s="290"/>
      <c r="S2041" s="291"/>
      <c r="T2041" s="291"/>
      <c r="U2041" s="292"/>
      <c r="V2041" s="259"/>
      <c r="W2041" s="298"/>
    </row>
    <row r="2042" spans="1:23" s="247" customFormat="1" x14ac:dyDescent="0.25">
      <c r="A2042" s="232"/>
      <c r="B2042" s="283"/>
      <c r="C2042" s="284"/>
      <c r="D2042" s="283"/>
      <c r="E2042" s="284"/>
      <c r="F2042" s="284"/>
      <c r="G2042" s="285"/>
      <c r="H2042" s="285"/>
      <c r="I2042" s="285"/>
      <c r="J2042" s="286"/>
      <c r="K2042" s="285"/>
      <c r="L2042" s="285"/>
      <c r="M2042" s="285"/>
      <c r="N2042" s="283"/>
      <c r="O2042" s="287"/>
      <c r="P2042" s="288"/>
      <c r="Q2042" s="289"/>
      <c r="R2042" s="290"/>
      <c r="S2042" s="291"/>
      <c r="T2042" s="299"/>
      <c r="U2042" s="292"/>
      <c r="V2042" s="259"/>
      <c r="W2042" s="300"/>
    </row>
    <row r="2043" spans="1:23" s="247" customFormat="1" x14ac:dyDescent="0.25">
      <c r="A2043" s="232"/>
      <c r="B2043" s="283"/>
      <c r="C2043" s="284"/>
      <c r="D2043" s="283"/>
      <c r="E2043" s="284"/>
      <c r="F2043" s="284"/>
      <c r="G2043" s="285"/>
      <c r="H2043" s="285"/>
      <c r="I2043" s="285"/>
      <c r="J2043" s="286"/>
      <c r="K2043" s="285"/>
      <c r="L2043" s="285"/>
      <c r="M2043" s="285"/>
      <c r="N2043" s="283"/>
      <c r="O2043" s="287"/>
      <c r="P2043" s="288"/>
      <c r="Q2043" s="289"/>
      <c r="R2043" s="290"/>
      <c r="S2043" s="291"/>
      <c r="T2043" s="291"/>
      <c r="U2043" s="292"/>
      <c r="V2043" s="259"/>
      <c r="W2043" s="259"/>
    </row>
    <row r="2044" spans="1:23" s="247" customFormat="1" x14ac:dyDescent="0.25">
      <c r="A2044" s="232"/>
      <c r="B2044" s="283"/>
      <c r="C2044" s="284"/>
      <c r="D2044" s="283"/>
      <c r="E2044" s="284"/>
      <c r="F2044" s="284"/>
      <c r="G2044" s="285"/>
      <c r="H2044" s="285"/>
      <c r="I2044" s="285"/>
      <c r="J2044" s="286"/>
      <c r="K2044" s="285"/>
      <c r="L2044" s="285"/>
      <c r="M2044" s="285"/>
      <c r="N2044" s="283"/>
      <c r="O2044" s="287"/>
      <c r="P2044" s="288"/>
      <c r="Q2044" s="289"/>
      <c r="R2044" s="290"/>
      <c r="S2044" s="291"/>
      <c r="T2044" s="291"/>
      <c r="U2044" s="292"/>
      <c r="V2044" s="259"/>
      <c r="W2044" s="259"/>
    </row>
    <row r="2045" spans="1:23" s="247" customFormat="1" x14ac:dyDescent="0.25">
      <c r="A2045" s="232"/>
      <c r="B2045" s="283"/>
      <c r="C2045" s="284"/>
      <c r="D2045" s="283"/>
      <c r="E2045" s="284"/>
      <c r="F2045" s="284"/>
      <c r="G2045" s="285"/>
      <c r="H2045" s="285"/>
      <c r="I2045" s="285"/>
      <c r="J2045" s="286"/>
      <c r="K2045" s="285"/>
      <c r="L2045" s="285"/>
      <c r="M2045" s="285"/>
      <c r="N2045" s="283"/>
      <c r="O2045" s="287"/>
      <c r="P2045" s="288"/>
      <c r="Q2045" s="289"/>
      <c r="R2045" s="290"/>
      <c r="S2045" s="291"/>
      <c r="T2045" s="291"/>
      <c r="U2045" s="292"/>
      <c r="V2045" s="259"/>
      <c r="W2045" s="259"/>
    </row>
    <row r="2046" spans="1:23" s="247" customFormat="1" x14ac:dyDescent="0.25">
      <c r="A2046" s="232"/>
      <c r="B2046" s="283"/>
      <c r="C2046" s="284"/>
      <c r="D2046" s="283"/>
      <c r="E2046" s="284"/>
      <c r="F2046" s="284"/>
      <c r="G2046" s="285"/>
      <c r="H2046" s="285"/>
      <c r="I2046" s="285"/>
      <c r="J2046" s="286"/>
      <c r="K2046" s="285"/>
      <c r="L2046" s="285"/>
      <c r="M2046" s="285"/>
      <c r="N2046" s="283"/>
      <c r="O2046" s="287"/>
      <c r="P2046" s="288"/>
      <c r="Q2046" s="289"/>
      <c r="R2046" s="290"/>
      <c r="S2046" s="291"/>
      <c r="T2046" s="291"/>
      <c r="U2046" s="292"/>
      <c r="V2046" s="259"/>
      <c r="W2046" s="259"/>
    </row>
    <row r="2047" spans="1:23" s="247" customFormat="1" x14ac:dyDescent="0.25">
      <c r="A2047" s="232"/>
      <c r="B2047" s="283"/>
      <c r="C2047" s="284"/>
      <c r="D2047" s="283"/>
      <c r="E2047" s="284"/>
      <c r="F2047" s="284"/>
      <c r="G2047" s="285"/>
      <c r="H2047" s="285"/>
      <c r="I2047" s="285"/>
      <c r="J2047" s="286"/>
      <c r="K2047" s="285"/>
      <c r="L2047" s="285"/>
      <c r="M2047" s="285"/>
      <c r="N2047" s="283"/>
      <c r="O2047" s="287"/>
      <c r="P2047" s="288"/>
      <c r="Q2047" s="289"/>
      <c r="R2047" s="290"/>
      <c r="S2047" s="291"/>
      <c r="T2047" s="291"/>
      <c r="U2047" s="292"/>
      <c r="V2047" s="259"/>
      <c r="W2047" s="259"/>
    </row>
    <row r="2048" spans="1:23" s="247" customFormat="1" x14ac:dyDescent="0.25">
      <c r="A2048" s="232"/>
      <c r="B2048" s="283"/>
      <c r="C2048" s="284"/>
      <c r="D2048" s="283"/>
      <c r="E2048" s="284"/>
      <c r="F2048" s="284"/>
      <c r="G2048" s="285"/>
      <c r="H2048" s="285"/>
      <c r="I2048" s="285"/>
      <c r="J2048" s="286"/>
      <c r="K2048" s="285"/>
      <c r="L2048" s="285"/>
      <c r="M2048" s="285"/>
      <c r="N2048" s="283"/>
      <c r="O2048" s="287"/>
      <c r="P2048" s="288"/>
      <c r="Q2048" s="289"/>
      <c r="R2048" s="290"/>
      <c r="S2048" s="291"/>
      <c r="T2048" s="291"/>
      <c r="U2048" s="292"/>
      <c r="V2048" s="259"/>
      <c r="W2048" s="259"/>
    </row>
    <row r="2049" spans="1:23" s="247" customFormat="1" x14ac:dyDescent="0.25">
      <c r="A2049" s="232"/>
      <c r="B2049" s="283"/>
      <c r="C2049" s="284"/>
      <c r="D2049" s="283"/>
      <c r="E2049" s="284"/>
      <c r="F2049" s="284"/>
      <c r="G2049" s="285"/>
      <c r="H2049" s="285"/>
      <c r="I2049" s="285"/>
      <c r="J2049" s="286"/>
      <c r="K2049" s="285"/>
      <c r="L2049" s="285"/>
      <c r="M2049" s="285"/>
      <c r="N2049" s="283"/>
      <c r="O2049" s="287"/>
      <c r="P2049" s="288"/>
      <c r="Q2049" s="289"/>
      <c r="R2049" s="290"/>
      <c r="S2049" s="291"/>
      <c r="T2049" s="291"/>
      <c r="U2049" s="292"/>
      <c r="V2049" s="259"/>
      <c r="W2049" s="259"/>
    </row>
    <row r="2050" spans="1:23" s="247" customFormat="1" x14ac:dyDescent="0.25">
      <c r="A2050" s="232"/>
      <c r="B2050" s="283"/>
      <c r="C2050" s="284"/>
      <c r="D2050" s="283"/>
      <c r="E2050" s="284"/>
      <c r="F2050" s="284"/>
      <c r="G2050" s="285"/>
      <c r="H2050" s="285"/>
      <c r="I2050" s="285"/>
      <c r="J2050" s="286"/>
      <c r="K2050" s="285"/>
      <c r="L2050" s="285"/>
      <c r="M2050" s="285"/>
      <c r="N2050" s="283"/>
      <c r="O2050" s="287"/>
      <c r="P2050" s="288"/>
      <c r="Q2050" s="289"/>
      <c r="R2050" s="290"/>
      <c r="S2050" s="291"/>
      <c r="T2050" s="291"/>
      <c r="U2050" s="292"/>
      <c r="V2050" s="259"/>
      <c r="W2050" s="259"/>
    </row>
    <row r="2051" spans="1:23" s="247" customFormat="1" x14ac:dyDescent="0.25">
      <c r="A2051" s="232"/>
      <c r="B2051" s="283"/>
      <c r="C2051" s="284"/>
      <c r="D2051" s="283"/>
      <c r="E2051" s="284"/>
      <c r="F2051" s="284"/>
      <c r="G2051" s="285"/>
      <c r="H2051" s="285"/>
      <c r="I2051" s="285"/>
      <c r="J2051" s="286"/>
      <c r="K2051" s="285"/>
      <c r="L2051" s="285"/>
      <c r="M2051" s="285"/>
      <c r="N2051" s="283"/>
      <c r="O2051" s="287"/>
      <c r="P2051" s="288"/>
      <c r="Q2051" s="289"/>
      <c r="R2051" s="290"/>
      <c r="S2051" s="291"/>
      <c r="T2051" s="291"/>
      <c r="U2051" s="292"/>
      <c r="V2051" s="259"/>
      <c r="W2051" s="259"/>
    </row>
    <row r="2052" spans="1:23" s="247" customFormat="1" x14ac:dyDescent="0.25">
      <c r="A2052" s="232"/>
      <c r="B2052" s="283"/>
      <c r="C2052" s="284"/>
      <c r="D2052" s="283"/>
      <c r="E2052" s="284"/>
      <c r="F2052" s="284"/>
      <c r="G2052" s="285"/>
      <c r="H2052" s="285"/>
      <c r="I2052" s="285"/>
      <c r="J2052" s="286"/>
      <c r="K2052" s="285"/>
      <c r="L2052" s="285"/>
      <c r="M2052" s="285"/>
      <c r="N2052" s="283"/>
      <c r="O2052" s="287"/>
      <c r="P2052" s="288"/>
      <c r="Q2052" s="289"/>
      <c r="R2052" s="290"/>
      <c r="S2052" s="291"/>
      <c r="T2052" s="291"/>
      <c r="U2052" s="292"/>
      <c r="V2052" s="259"/>
      <c r="W2052" s="259"/>
    </row>
    <row r="2053" spans="1:23" s="247" customFormat="1" x14ac:dyDescent="0.25">
      <c r="A2053" s="232"/>
      <c r="B2053" s="283"/>
      <c r="C2053" s="284"/>
      <c r="D2053" s="283"/>
      <c r="E2053" s="284"/>
      <c r="F2053" s="284"/>
      <c r="G2053" s="285"/>
      <c r="H2053" s="285"/>
      <c r="I2053" s="285"/>
      <c r="J2053" s="286"/>
      <c r="K2053" s="285"/>
      <c r="L2053" s="285"/>
      <c r="M2053" s="285"/>
      <c r="N2053" s="283"/>
      <c r="O2053" s="287"/>
      <c r="P2053" s="288"/>
      <c r="Q2053" s="289"/>
      <c r="R2053" s="290"/>
      <c r="S2053" s="291"/>
      <c r="T2053" s="291"/>
      <c r="U2053" s="292"/>
      <c r="V2053" s="259"/>
      <c r="W2053" s="259"/>
    </row>
    <row r="2054" spans="1:23" s="247" customFormat="1" x14ac:dyDescent="0.25">
      <c r="A2054" s="232"/>
      <c r="B2054" s="283"/>
      <c r="C2054" s="284"/>
      <c r="D2054" s="283"/>
      <c r="E2054" s="284"/>
      <c r="F2054" s="284"/>
      <c r="G2054" s="285"/>
      <c r="H2054" s="285"/>
      <c r="I2054" s="285"/>
      <c r="J2054" s="286"/>
      <c r="K2054" s="285"/>
      <c r="L2054" s="285"/>
      <c r="M2054" s="285"/>
      <c r="N2054" s="283"/>
      <c r="O2054" s="287"/>
      <c r="P2054" s="288"/>
      <c r="Q2054" s="289"/>
      <c r="R2054" s="290"/>
      <c r="S2054" s="291"/>
      <c r="T2054" s="291"/>
      <c r="U2054" s="292"/>
      <c r="V2054" s="259"/>
      <c r="W2054" s="259"/>
    </row>
    <row r="2055" spans="1:23" s="247" customFormat="1" x14ac:dyDescent="0.25">
      <c r="A2055" s="232"/>
      <c r="B2055" s="283"/>
      <c r="C2055" s="284"/>
      <c r="D2055" s="283"/>
      <c r="E2055" s="284"/>
      <c r="F2055" s="284"/>
      <c r="G2055" s="285"/>
      <c r="H2055" s="285"/>
      <c r="I2055" s="285"/>
      <c r="J2055" s="286"/>
      <c r="K2055" s="285"/>
      <c r="L2055" s="285"/>
      <c r="M2055" s="285"/>
      <c r="N2055" s="283"/>
      <c r="O2055" s="287"/>
      <c r="P2055" s="288"/>
      <c r="Q2055" s="289"/>
      <c r="R2055" s="290"/>
      <c r="S2055" s="291"/>
      <c r="T2055" s="291"/>
      <c r="U2055" s="292"/>
      <c r="V2055" s="259"/>
      <c r="W2055" s="259"/>
    </row>
    <row r="2056" spans="1:23" s="247" customFormat="1" x14ac:dyDescent="0.25">
      <c r="A2056" s="232"/>
      <c r="B2056" s="283"/>
      <c r="C2056" s="284"/>
      <c r="D2056" s="283"/>
      <c r="E2056" s="284"/>
      <c r="F2056" s="284"/>
      <c r="G2056" s="285"/>
      <c r="H2056" s="285"/>
      <c r="I2056" s="285"/>
      <c r="J2056" s="286"/>
      <c r="K2056" s="285"/>
      <c r="L2056" s="285"/>
      <c r="M2056" s="285"/>
      <c r="N2056" s="283"/>
      <c r="O2056" s="287"/>
      <c r="P2056" s="288"/>
      <c r="Q2056" s="289"/>
      <c r="R2056" s="290"/>
      <c r="S2056" s="291"/>
      <c r="T2056" s="291"/>
      <c r="U2056" s="292"/>
      <c r="V2056" s="259"/>
      <c r="W2056" s="259"/>
    </row>
    <row r="2057" spans="1:23" s="247" customFormat="1" x14ac:dyDescent="0.25">
      <c r="A2057" s="232"/>
      <c r="B2057" s="283"/>
      <c r="C2057" s="284"/>
      <c r="D2057" s="283"/>
      <c r="E2057" s="284"/>
      <c r="F2057" s="284"/>
      <c r="G2057" s="285"/>
      <c r="H2057" s="285"/>
      <c r="I2057" s="285"/>
      <c r="J2057" s="286"/>
      <c r="K2057" s="285"/>
      <c r="L2057" s="285"/>
      <c r="M2057" s="285"/>
      <c r="N2057" s="283"/>
      <c r="O2057" s="287"/>
      <c r="P2057" s="288"/>
      <c r="Q2057" s="289"/>
      <c r="R2057" s="290"/>
      <c r="S2057" s="291"/>
      <c r="T2057" s="291"/>
      <c r="U2057" s="292"/>
      <c r="V2057" s="259"/>
      <c r="W2057" s="259"/>
    </row>
    <row r="2058" spans="1:23" s="247" customFormat="1" x14ac:dyDescent="0.25">
      <c r="A2058" s="232"/>
      <c r="B2058" s="283"/>
      <c r="C2058" s="284"/>
      <c r="D2058" s="283"/>
      <c r="E2058" s="284"/>
      <c r="F2058" s="284"/>
      <c r="G2058" s="285"/>
      <c r="H2058" s="285"/>
      <c r="I2058" s="285"/>
      <c r="J2058" s="286"/>
      <c r="K2058" s="285"/>
      <c r="L2058" s="285"/>
      <c r="M2058" s="285"/>
      <c r="N2058" s="283"/>
      <c r="O2058" s="287"/>
      <c r="P2058" s="288"/>
      <c r="Q2058" s="289"/>
      <c r="R2058" s="290"/>
      <c r="S2058" s="291"/>
      <c r="T2058" s="291"/>
      <c r="U2058" s="292"/>
      <c r="V2058" s="259"/>
      <c r="W2058" s="259"/>
    </row>
    <row r="2059" spans="1:23" s="247" customFormat="1" x14ac:dyDescent="0.25">
      <c r="A2059" s="232"/>
      <c r="B2059" s="283"/>
      <c r="C2059" s="284"/>
      <c r="D2059" s="283"/>
      <c r="E2059" s="284"/>
      <c r="F2059" s="284"/>
      <c r="G2059" s="285"/>
      <c r="H2059" s="285"/>
      <c r="I2059" s="285"/>
      <c r="J2059" s="286"/>
      <c r="K2059" s="285"/>
      <c r="L2059" s="285"/>
      <c r="M2059" s="285"/>
      <c r="N2059" s="283"/>
      <c r="O2059" s="287"/>
      <c r="P2059" s="288"/>
      <c r="Q2059" s="289"/>
      <c r="R2059" s="290"/>
      <c r="S2059" s="291"/>
      <c r="T2059" s="291"/>
      <c r="U2059" s="292"/>
      <c r="V2059" s="259"/>
      <c r="W2059" s="259"/>
    </row>
    <row r="2060" spans="1:23" s="247" customFormat="1" x14ac:dyDescent="0.25">
      <c r="A2060" s="232"/>
      <c r="B2060" s="283"/>
      <c r="C2060" s="284"/>
      <c r="D2060" s="283"/>
      <c r="E2060" s="284"/>
      <c r="F2060" s="284"/>
      <c r="G2060" s="285"/>
      <c r="H2060" s="285"/>
      <c r="I2060" s="285"/>
      <c r="J2060" s="286"/>
      <c r="K2060" s="285"/>
      <c r="L2060" s="285"/>
      <c r="M2060" s="285"/>
      <c r="N2060" s="283"/>
      <c r="O2060" s="287"/>
      <c r="P2060" s="288"/>
      <c r="Q2060" s="289"/>
      <c r="R2060" s="290"/>
      <c r="S2060" s="291"/>
      <c r="T2060" s="291"/>
      <c r="U2060" s="292"/>
      <c r="V2060" s="259"/>
      <c r="W2060" s="259"/>
    </row>
    <row r="2061" spans="1:23" s="247" customFormat="1" x14ac:dyDescent="0.25">
      <c r="A2061" s="232"/>
      <c r="B2061" s="283"/>
      <c r="C2061" s="284"/>
      <c r="D2061" s="283"/>
      <c r="E2061" s="284"/>
      <c r="F2061" s="284"/>
      <c r="G2061" s="285"/>
      <c r="H2061" s="285"/>
      <c r="I2061" s="285"/>
      <c r="J2061" s="286"/>
      <c r="K2061" s="285"/>
      <c r="L2061" s="285"/>
      <c r="M2061" s="285"/>
      <c r="N2061" s="283"/>
      <c r="O2061" s="287"/>
      <c r="P2061" s="288"/>
      <c r="Q2061" s="289"/>
      <c r="R2061" s="290"/>
      <c r="S2061" s="291"/>
      <c r="T2061" s="263"/>
      <c r="U2061" s="292"/>
      <c r="V2061" s="259"/>
      <c r="W2061" s="259"/>
    </row>
    <row r="2062" spans="1:23" s="247" customFormat="1" x14ac:dyDescent="0.25">
      <c r="A2062" s="232"/>
      <c r="B2062" s="283"/>
      <c r="C2062" s="284"/>
      <c r="D2062" s="283"/>
      <c r="E2062" s="284"/>
      <c r="F2062" s="284"/>
      <c r="G2062" s="285"/>
      <c r="H2062" s="285"/>
      <c r="I2062" s="285"/>
      <c r="J2062" s="286"/>
      <c r="K2062" s="285"/>
      <c r="L2062" s="285"/>
      <c r="M2062" s="285"/>
      <c r="N2062" s="283"/>
      <c r="O2062" s="287"/>
      <c r="P2062" s="288"/>
      <c r="Q2062" s="289"/>
      <c r="R2062" s="290"/>
      <c r="S2062" s="291"/>
      <c r="T2062" s="291"/>
      <c r="U2062" s="292"/>
      <c r="V2062" s="259"/>
      <c r="W2062" s="259"/>
    </row>
    <row r="2063" spans="1:23" s="247" customFormat="1" x14ac:dyDescent="0.25">
      <c r="A2063" s="232"/>
      <c r="B2063" s="283"/>
      <c r="C2063" s="284"/>
      <c r="D2063" s="283"/>
      <c r="E2063" s="284"/>
      <c r="F2063" s="284"/>
      <c r="G2063" s="285"/>
      <c r="H2063" s="285"/>
      <c r="I2063" s="285"/>
      <c r="J2063" s="286"/>
      <c r="K2063" s="285"/>
      <c r="L2063" s="285"/>
      <c r="M2063" s="285"/>
      <c r="N2063" s="283"/>
      <c r="O2063" s="287"/>
      <c r="P2063" s="288"/>
      <c r="Q2063" s="289"/>
      <c r="R2063" s="290"/>
      <c r="S2063" s="291"/>
      <c r="T2063" s="291"/>
      <c r="U2063" s="292"/>
      <c r="V2063" s="259"/>
      <c r="W2063" s="259"/>
    </row>
    <row r="2064" spans="1:23" s="247" customFormat="1" x14ac:dyDescent="0.25">
      <c r="A2064" s="232"/>
      <c r="B2064" s="283"/>
      <c r="C2064" s="284"/>
      <c r="D2064" s="283"/>
      <c r="E2064" s="284"/>
      <c r="F2064" s="284"/>
      <c r="G2064" s="285"/>
      <c r="H2064" s="285"/>
      <c r="I2064" s="285"/>
      <c r="J2064" s="286"/>
      <c r="K2064" s="285"/>
      <c r="L2064" s="285"/>
      <c r="M2064" s="285"/>
      <c r="N2064" s="283"/>
      <c r="O2064" s="287"/>
      <c r="P2064" s="288"/>
      <c r="Q2064" s="289"/>
      <c r="R2064" s="290"/>
      <c r="S2064" s="291"/>
      <c r="T2064" s="291"/>
      <c r="U2064" s="292"/>
      <c r="V2064" s="259"/>
      <c r="W2064" s="259"/>
    </row>
    <row r="2065" spans="1:23" s="247" customFormat="1" x14ac:dyDescent="0.25">
      <c r="A2065" s="232"/>
      <c r="B2065" s="283"/>
      <c r="C2065" s="284"/>
      <c r="D2065" s="283"/>
      <c r="E2065" s="284"/>
      <c r="F2065" s="284"/>
      <c r="G2065" s="285"/>
      <c r="H2065" s="285"/>
      <c r="I2065" s="285"/>
      <c r="J2065" s="286"/>
      <c r="K2065" s="285"/>
      <c r="L2065" s="285"/>
      <c r="M2065" s="285"/>
      <c r="N2065" s="283"/>
      <c r="O2065" s="287"/>
      <c r="P2065" s="288"/>
      <c r="Q2065" s="289"/>
      <c r="R2065" s="290"/>
      <c r="S2065" s="291"/>
      <c r="T2065" s="291"/>
      <c r="U2065" s="292"/>
      <c r="V2065" s="259"/>
      <c r="W2065" s="259"/>
    </row>
    <row r="2066" spans="1:23" s="247" customFormat="1" x14ac:dyDescent="0.25">
      <c r="A2066" s="232"/>
      <c r="B2066" s="283"/>
      <c r="C2066" s="284"/>
      <c r="D2066" s="283"/>
      <c r="E2066" s="284"/>
      <c r="F2066" s="284"/>
      <c r="G2066" s="285"/>
      <c r="H2066" s="285"/>
      <c r="I2066" s="285"/>
      <c r="J2066" s="286"/>
      <c r="K2066" s="285"/>
      <c r="L2066" s="285"/>
      <c r="M2066" s="285"/>
      <c r="N2066" s="283"/>
      <c r="O2066" s="287"/>
      <c r="P2066" s="288"/>
      <c r="Q2066" s="289"/>
      <c r="R2066" s="290"/>
      <c r="S2066" s="291"/>
      <c r="T2066" s="291"/>
      <c r="U2066" s="292"/>
      <c r="V2066" s="259"/>
      <c r="W2066" s="259"/>
    </row>
    <row r="2067" spans="1:23" s="247" customFormat="1" x14ac:dyDescent="0.25">
      <c r="A2067" s="232"/>
      <c r="B2067" s="283"/>
      <c r="C2067" s="284"/>
      <c r="D2067" s="283"/>
      <c r="E2067" s="284"/>
      <c r="F2067" s="284"/>
      <c r="G2067" s="285"/>
      <c r="H2067" s="285"/>
      <c r="I2067" s="285"/>
      <c r="J2067" s="286"/>
      <c r="K2067" s="285"/>
      <c r="L2067" s="285"/>
      <c r="M2067" s="285"/>
      <c r="N2067" s="283"/>
      <c r="O2067" s="287"/>
      <c r="P2067" s="288"/>
      <c r="Q2067" s="289"/>
      <c r="R2067" s="290"/>
      <c r="S2067" s="291"/>
      <c r="T2067" s="291"/>
      <c r="U2067" s="292"/>
      <c r="V2067" s="259"/>
      <c r="W2067" s="259"/>
    </row>
    <row r="2068" spans="1:23" s="247" customFormat="1" x14ac:dyDescent="0.25">
      <c r="A2068" s="232"/>
      <c r="B2068" s="283"/>
      <c r="C2068" s="284"/>
      <c r="D2068" s="283"/>
      <c r="E2068" s="284"/>
      <c r="F2068" s="284"/>
      <c r="G2068" s="285"/>
      <c r="H2068" s="285"/>
      <c r="I2068" s="285"/>
      <c r="J2068" s="286"/>
      <c r="K2068" s="285"/>
      <c r="L2068" s="285"/>
      <c r="M2068" s="285"/>
      <c r="N2068" s="283"/>
      <c r="O2068" s="287"/>
      <c r="P2068" s="288"/>
      <c r="Q2068" s="289"/>
      <c r="R2068" s="290"/>
      <c r="S2068" s="291"/>
      <c r="T2068" s="291"/>
      <c r="U2068" s="292"/>
      <c r="V2068" s="259"/>
      <c r="W2068" s="259"/>
    </row>
    <row r="2069" spans="1:23" s="247" customFormat="1" x14ac:dyDescent="0.25">
      <c r="A2069" s="232"/>
      <c r="B2069" s="283"/>
      <c r="C2069" s="284"/>
      <c r="D2069" s="283"/>
      <c r="E2069" s="284"/>
      <c r="F2069" s="284"/>
      <c r="G2069" s="285"/>
      <c r="H2069" s="285"/>
      <c r="I2069" s="285"/>
      <c r="J2069" s="286"/>
      <c r="K2069" s="285"/>
      <c r="L2069" s="285"/>
      <c r="M2069" s="285"/>
      <c r="N2069" s="283"/>
      <c r="O2069" s="287"/>
      <c r="P2069" s="288"/>
      <c r="Q2069" s="289"/>
      <c r="R2069" s="290"/>
      <c r="S2069" s="291"/>
      <c r="T2069" s="291"/>
      <c r="U2069" s="292"/>
      <c r="V2069" s="259"/>
      <c r="W2069" s="259"/>
    </row>
    <row r="2070" spans="1:23" s="247" customFormat="1" x14ac:dyDescent="0.25">
      <c r="A2070" s="232"/>
      <c r="B2070" s="283"/>
      <c r="C2070" s="284"/>
      <c r="D2070" s="283"/>
      <c r="E2070" s="284"/>
      <c r="F2070" s="284"/>
      <c r="G2070" s="285"/>
      <c r="H2070" s="285"/>
      <c r="I2070" s="285"/>
      <c r="J2070" s="286"/>
      <c r="K2070" s="285"/>
      <c r="L2070" s="285"/>
      <c r="M2070" s="285"/>
      <c r="N2070" s="283"/>
      <c r="O2070" s="287"/>
      <c r="P2070" s="288"/>
      <c r="Q2070" s="289"/>
      <c r="R2070" s="290"/>
      <c r="S2070" s="291"/>
      <c r="T2070" s="291"/>
      <c r="U2070" s="292"/>
      <c r="V2070" s="259"/>
      <c r="W2070" s="259"/>
    </row>
    <row r="2071" spans="1:23" s="247" customFormat="1" x14ac:dyDescent="0.25">
      <c r="A2071" s="232"/>
      <c r="B2071" s="283"/>
      <c r="C2071" s="284"/>
      <c r="D2071" s="283"/>
      <c r="E2071" s="284"/>
      <c r="F2071" s="284"/>
      <c r="G2071" s="285"/>
      <c r="H2071" s="285"/>
      <c r="I2071" s="285"/>
      <c r="J2071" s="286"/>
      <c r="K2071" s="285"/>
      <c r="L2071" s="285"/>
      <c r="M2071" s="285"/>
      <c r="N2071" s="283"/>
      <c r="O2071" s="287"/>
      <c r="P2071" s="288"/>
      <c r="Q2071" s="289"/>
      <c r="R2071" s="290"/>
      <c r="S2071" s="291"/>
      <c r="T2071" s="291"/>
      <c r="U2071" s="292"/>
      <c r="V2071" s="259"/>
      <c r="W2071" s="259"/>
    </row>
    <row r="2072" spans="1:23" s="247" customFormat="1" x14ac:dyDescent="0.25">
      <c r="A2072" s="232"/>
      <c r="B2072" s="283"/>
      <c r="C2072" s="284"/>
      <c r="D2072" s="283"/>
      <c r="E2072" s="284"/>
      <c r="F2072" s="284"/>
      <c r="G2072" s="285"/>
      <c r="H2072" s="285"/>
      <c r="I2072" s="285"/>
      <c r="J2072" s="286"/>
      <c r="K2072" s="285"/>
      <c r="L2072" s="285"/>
      <c r="M2072" s="285"/>
      <c r="N2072" s="283"/>
      <c r="O2072" s="287"/>
      <c r="P2072" s="288"/>
      <c r="Q2072" s="289"/>
      <c r="R2072" s="290"/>
      <c r="S2072" s="291"/>
      <c r="T2072" s="291"/>
      <c r="U2072" s="292"/>
      <c r="V2072" s="259"/>
      <c r="W2072" s="259"/>
    </row>
    <row r="2073" spans="1:23" s="247" customFormat="1" x14ac:dyDescent="0.25">
      <c r="A2073" s="232"/>
      <c r="B2073" s="283"/>
      <c r="C2073" s="284"/>
      <c r="D2073" s="283"/>
      <c r="E2073" s="284"/>
      <c r="F2073" s="284"/>
      <c r="G2073" s="285"/>
      <c r="H2073" s="285"/>
      <c r="I2073" s="285"/>
      <c r="J2073" s="286"/>
      <c r="K2073" s="285"/>
      <c r="L2073" s="285"/>
      <c r="M2073" s="285"/>
      <c r="N2073" s="283"/>
      <c r="O2073" s="287"/>
      <c r="P2073" s="288"/>
      <c r="Q2073" s="289"/>
      <c r="R2073" s="290"/>
      <c r="S2073" s="291"/>
      <c r="T2073" s="291"/>
      <c r="U2073" s="292"/>
      <c r="V2073" s="259"/>
      <c r="W2073" s="259"/>
    </row>
    <row r="2074" spans="1:23" s="247" customFormat="1" x14ac:dyDescent="0.25">
      <c r="A2074" s="232"/>
      <c r="B2074" s="283"/>
      <c r="C2074" s="284"/>
      <c r="D2074" s="283"/>
      <c r="E2074" s="284"/>
      <c r="F2074" s="284"/>
      <c r="G2074" s="285"/>
      <c r="H2074" s="285"/>
      <c r="I2074" s="285"/>
      <c r="J2074" s="286"/>
      <c r="K2074" s="285"/>
      <c r="L2074" s="285"/>
      <c r="M2074" s="285"/>
      <c r="N2074" s="283"/>
      <c r="O2074" s="287"/>
      <c r="P2074" s="288"/>
      <c r="Q2074" s="289"/>
      <c r="R2074" s="290"/>
      <c r="S2074" s="291"/>
      <c r="T2074" s="291"/>
      <c r="U2074" s="292"/>
      <c r="V2074" s="259"/>
      <c r="W2074" s="259"/>
    </row>
    <row r="2075" spans="1:23" s="247" customFormat="1" x14ac:dyDescent="0.25">
      <c r="A2075" s="232"/>
      <c r="B2075" s="283"/>
      <c r="C2075" s="284"/>
      <c r="D2075" s="283"/>
      <c r="E2075" s="284"/>
      <c r="F2075" s="284"/>
      <c r="G2075" s="285"/>
      <c r="H2075" s="285"/>
      <c r="I2075" s="285"/>
      <c r="J2075" s="286"/>
      <c r="K2075" s="285"/>
      <c r="L2075" s="285"/>
      <c r="M2075" s="285"/>
      <c r="N2075" s="283"/>
      <c r="O2075" s="287"/>
      <c r="P2075" s="288"/>
      <c r="Q2075" s="289"/>
      <c r="R2075" s="290"/>
      <c r="S2075" s="291"/>
      <c r="T2075" s="291"/>
      <c r="U2075" s="292"/>
      <c r="V2075" s="259"/>
      <c r="W2075" s="259"/>
    </row>
    <row r="2076" spans="1:23" s="247" customFormat="1" x14ac:dyDescent="0.25">
      <c r="A2076" s="232"/>
      <c r="B2076" s="283"/>
      <c r="C2076" s="284"/>
      <c r="D2076" s="283"/>
      <c r="E2076" s="284"/>
      <c r="F2076" s="284"/>
      <c r="G2076" s="285"/>
      <c r="H2076" s="285"/>
      <c r="I2076" s="285"/>
      <c r="J2076" s="286"/>
      <c r="K2076" s="285"/>
      <c r="L2076" s="285"/>
      <c r="M2076" s="285"/>
      <c r="N2076" s="283"/>
      <c r="O2076" s="287"/>
      <c r="P2076" s="288"/>
      <c r="Q2076" s="289"/>
      <c r="R2076" s="290"/>
      <c r="S2076" s="291"/>
      <c r="T2076" s="291"/>
      <c r="U2076" s="292"/>
      <c r="V2076" s="259"/>
      <c r="W2076" s="259"/>
    </row>
    <row r="2077" spans="1:23" s="247" customFormat="1" x14ac:dyDescent="0.25">
      <c r="A2077" s="232"/>
      <c r="B2077" s="283"/>
      <c r="C2077" s="284"/>
      <c r="D2077" s="283"/>
      <c r="E2077" s="284"/>
      <c r="F2077" s="284"/>
      <c r="G2077" s="285"/>
      <c r="H2077" s="285"/>
      <c r="I2077" s="285"/>
      <c r="J2077" s="286"/>
      <c r="K2077" s="285"/>
      <c r="L2077" s="285"/>
      <c r="M2077" s="285"/>
      <c r="N2077" s="283"/>
      <c r="O2077" s="287"/>
      <c r="P2077" s="288"/>
      <c r="Q2077" s="289"/>
      <c r="R2077" s="290"/>
      <c r="S2077" s="291"/>
      <c r="T2077" s="291"/>
      <c r="U2077" s="292"/>
      <c r="V2077" s="259"/>
      <c r="W2077" s="259"/>
    </row>
    <row r="2078" spans="1:23" s="247" customFormat="1" x14ac:dyDescent="0.25">
      <c r="A2078" s="232"/>
      <c r="B2078" s="283"/>
      <c r="C2078" s="284"/>
      <c r="D2078" s="283"/>
      <c r="E2078" s="284"/>
      <c r="F2078" s="284"/>
      <c r="G2078" s="285"/>
      <c r="H2078" s="285"/>
      <c r="I2078" s="285"/>
      <c r="J2078" s="286"/>
      <c r="K2078" s="285"/>
      <c r="L2078" s="285"/>
      <c r="M2078" s="285"/>
      <c r="N2078" s="283"/>
      <c r="O2078" s="287"/>
      <c r="P2078" s="288"/>
      <c r="Q2078" s="289"/>
      <c r="R2078" s="290"/>
      <c r="S2078" s="291"/>
      <c r="T2078" s="291"/>
      <c r="U2078" s="292"/>
      <c r="V2078" s="259"/>
      <c r="W2078" s="259"/>
    </row>
    <row r="2079" spans="1:23" s="247" customFormat="1" x14ac:dyDescent="0.25">
      <c r="A2079" s="232"/>
      <c r="B2079" s="283"/>
      <c r="C2079" s="284"/>
      <c r="D2079" s="283"/>
      <c r="E2079" s="284"/>
      <c r="F2079" s="284"/>
      <c r="G2079" s="285"/>
      <c r="H2079" s="285"/>
      <c r="I2079" s="285"/>
      <c r="J2079" s="286"/>
      <c r="K2079" s="285"/>
      <c r="L2079" s="285"/>
      <c r="M2079" s="285"/>
      <c r="N2079" s="283"/>
      <c r="O2079" s="287"/>
      <c r="P2079" s="288"/>
      <c r="Q2079" s="289"/>
      <c r="R2079" s="290"/>
      <c r="S2079" s="291"/>
      <c r="T2079" s="291"/>
      <c r="U2079" s="292"/>
      <c r="V2079" s="259"/>
      <c r="W2079" s="259"/>
    </row>
    <row r="2080" spans="1:23" s="247" customFormat="1" x14ac:dyDescent="0.25">
      <c r="A2080" s="232"/>
      <c r="B2080" s="283"/>
      <c r="C2080" s="284"/>
      <c r="D2080" s="283"/>
      <c r="E2080" s="284"/>
      <c r="F2080" s="284"/>
      <c r="G2080" s="285"/>
      <c r="H2080" s="285"/>
      <c r="I2080" s="285"/>
      <c r="J2080" s="286"/>
      <c r="K2080" s="285"/>
      <c r="L2080" s="285"/>
      <c r="M2080" s="285"/>
      <c r="N2080" s="283"/>
      <c r="O2080" s="287"/>
      <c r="P2080" s="288"/>
      <c r="Q2080" s="289"/>
      <c r="R2080" s="290"/>
      <c r="S2080" s="291"/>
      <c r="T2080" s="291"/>
      <c r="U2080" s="292"/>
      <c r="V2080" s="259"/>
      <c r="W2080" s="268"/>
    </row>
    <row r="2081" spans="1:23" s="247" customFormat="1" x14ac:dyDescent="0.25">
      <c r="A2081" s="232"/>
      <c r="B2081" s="283"/>
      <c r="C2081" s="284"/>
      <c r="D2081" s="283"/>
      <c r="E2081" s="284"/>
      <c r="F2081" s="284"/>
      <c r="G2081" s="285"/>
      <c r="H2081" s="285"/>
      <c r="I2081" s="285"/>
      <c r="J2081" s="286"/>
      <c r="K2081" s="285"/>
      <c r="L2081" s="285"/>
      <c r="M2081" s="285"/>
      <c r="N2081" s="283"/>
      <c r="O2081" s="287"/>
      <c r="P2081" s="288"/>
      <c r="Q2081" s="289"/>
      <c r="R2081" s="290"/>
      <c r="S2081" s="291"/>
      <c r="T2081" s="291"/>
      <c r="U2081" s="292"/>
      <c r="V2081" s="259"/>
      <c r="W2081" s="259"/>
    </row>
    <row r="2082" spans="1:23" s="247" customFormat="1" x14ac:dyDescent="0.25">
      <c r="A2082" s="232"/>
      <c r="B2082" s="283"/>
      <c r="C2082" s="284"/>
      <c r="D2082" s="283"/>
      <c r="E2082" s="284"/>
      <c r="F2082" s="284"/>
      <c r="G2082" s="285"/>
      <c r="H2082" s="285"/>
      <c r="I2082" s="285"/>
      <c r="J2082" s="286"/>
      <c r="K2082" s="285"/>
      <c r="L2082" s="285"/>
      <c r="M2082" s="285"/>
      <c r="N2082" s="283"/>
      <c r="O2082" s="287"/>
      <c r="P2082" s="288"/>
      <c r="Q2082" s="289"/>
      <c r="R2082" s="290"/>
      <c r="S2082" s="291"/>
      <c r="T2082" s="291"/>
      <c r="U2082" s="292"/>
      <c r="V2082" s="259"/>
      <c r="W2082" s="259"/>
    </row>
    <row r="2083" spans="1:23" s="247" customFormat="1" x14ac:dyDescent="0.25">
      <c r="A2083" s="232"/>
      <c r="B2083" s="283"/>
      <c r="C2083" s="284"/>
      <c r="D2083" s="283"/>
      <c r="E2083" s="284"/>
      <c r="F2083" s="284"/>
      <c r="G2083" s="285"/>
      <c r="H2083" s="285"/>
      <c r="I2083" s="285"/>
      <c r="J2083" s="286"/>
      <c r="K2083" s="285"/>
      <c r="L2083" s="285"/>
      <c r="M2083" s="285"/>
      <c r="N2083" s="283"/>
      <c r="O2083" s="287"/>
      <c r="P2083" s="288"/>
      <c r="Q2083" s="289"/>
      <c r="R2083" s="290"/>
      <c r="S2083" s="291"/>
      <c r="T2083" s="291"/>
      <c r="U2083" s="292"/>
      <c r="V2083" s="259"/>
      <c r="W2083" s="259"/>
    </row>
    <row r="2084" spans="1:23" s="247" customFormat="1" x14ac:dyDescent="0.25">
      <c r="A2084" s="232"/>
      <c r="B2084" s="283"/>
      <c r="C2084" s="284"/>
      <c r="D2084" s="283"/>
      <c r="E2084" s="284"/>
      <c r="F2084" s="284"/>
      <c r="G2084" s="285"/>
      <c r="H2084" s="285"/>
      <c r="I2084" s="285"/>
      <c r="J2084" s="286"/>
      <c r="K2084" s="285"/>
      <c r="L2084" s="285"/>
      <c r="M2084" s="285"/>
      <c r="N2084" s="283"/>
      <c r="O2084" s="287"/>
      <c r="P2084" s="288"/>
      <c r="Q2084" s="289"/>
      <c r="R2084" s="290"/>
      <c r="S2084" s="291"/>
      <c r="T2084" s="291"/>
      <c r="U2084" s="292"/>
      <c r="V2084" s="259"/>
      <c r="W2084" s="259"/>
    </row>
    <row r="2085" spans="1:23" s="247" customFormat="1" x14ac:dyDescent="0.25">
      <c r="A2085" s="232"/>
      <c r="B2085" s="283"/>
      <c r="C2085" s="284"/>
      <c r="D2085" s="283"/>
      <c r="E2085" s="284"/>
      <c r="F2085" s="284"/>
      <c r="G2085" s="285"/>
      <c r="H2085" s="285"/>
      <c r="I2085" s="285"/>
      <c r="J2085" s="286"/>
      <c r="K2085" s="285"/>
      <c r="L2085" s="285"/>
      <c r="M2085" s="285"/>
      <c r="N2085" s="283"/>
      <c r="O2085" s="287"/>
      <c r="P2085" s="288"/>
      <c r="Q2085" s="289"/>
      <c r="R2085" s="290"/>
      <c r="S2085" s="291"/>
      <c r="T2085" s="291"/>
      <c r="U2085" s="292"/>
      <c r="V2085" s="259"/>
      <c r="W2085" s="259"/>
    </row>
    <row r="2086" spans="1:23" s="247" customFormat="1" x14ac:dyDescent="0.25">
      <c r="A2086" s="232"/>
      <c r="B2086" s="283"/>
      <c r="C2086" s="284"/>
      <c r="D2086" s="283"/>
      <c r="E2086" s="284"/>
      <c r="F2086" s="284"/>
      <c r="G2086" s="285"/>
      <c r="H2086" s="285"/>
      <c r="I2086" s="285"/>
      <c r="J2086" s="286"/>
      <c r="K2086" s="285"/>
      <c r="L2086" s="285"/>
      <c r="M2086" s="285"/>
      <c r="N2086" s="283"/>
      <c r="O2086" s="287"/>
      <c r="P2086" s="288"/>
      <c r="Q2086" s="289"/>
      <c r="R2086" s="290"/>
      <c r="S2086" s="291"/>
      <c r="T2086" s="291"/>
      <c r="U2086" s="292"/>
      <c r="V2086" s="259"/>
      <c r="W2086" s="259"/>
    </row>
    <row r="2087" spans="1:23" s="247" customFormat="1" x14ac:dyDescent="0.25">
      <c r="A2087" s="232"/>
      <c r="B2087" s="283"/>
      <c r="C2087" s="284"/>
      <c r="D2087" s="283"/>
      <c r="E2087" s="284"/>
      <c r="F2087" s="284"/>
      <c r="G2087" s="285"/>
      <c r="H2087" s="285"/>
      <c r="I2087" s="285"/>
      <c r="J2087" s="286"/>
      <c r="K2087" s="285"/>
      <c r="L2087" s="285"/>
      <c r="M2087" s="285"/>
      <c r="N2087" s="283"/>
      <c r="O2087" s="287"/>
      <c r="P2087" s="288"/>
      <c r="Q2087" s="289"/>
      <c r="R2087" s="290"/>
      <c r="S2087" s="291"/>
      <c r="T2087" s="291"/>
      <c r="U2087" s="292"/>
      <c r="V2087" s="259"/>
      <c r="W2087" s="259"/>
    </row>
    <row r="2088" spans="1:23" s="247" customFormat="1" x14ac:dyDescent="0.25">
      <c r="A2088" s="232"/>
      <c r="B2088" s="283"/>
      <c r="C2088" s="284"/>
      <c r="D2088" s="283"/>
      <c r="E2088" s="284"/>
      <c r="F2088" s="284"/>
      <c r="G2088" s="285"/>
      <c r="H2088" s="285"/>
      <c r="I2088" s="285"/>
      <c r="J2088" s="286"/>
      <c r="K2088" s="285"/>
      <c r="L2088" s="285"/>
      <c r="M2088" s="285"/>
      <c r="N2088" s="283"/>
      <c r="O2088" s="287"/>
      <c r="P2088" s="288"/>
      <c r="Q2088" s="289"/>
      <c r="R2088" s="290"/>
      <c r="S2088" s="291"/>
      <c r="T2088" s="291"/>
      <c r="U2088" s="292"/>
      <c r="V2088" s="259"/>
      <c r="W2088" s="259"/>
    </row>
    <row r="2089" spans="1:23" s="247" customFormat="1" x14ac:dyDescent="0.25">
      <c r="A2089" s="232"/>
      <c r="B2089" s="283"/>
      <c r="C2089" s="284"/>
      <c r="D2089" s="283"/>
      <c r="E2089" s="284"/>
      <c r="F2089" s="284"/>
      <c r="G2089" s="285"/>
      <c r="H2089" s="285"/>
      <c r="I2089" s="285"/>
      <c r="J2089" s="286"/>
      <c r="K2089" s="285"/>
      <c r="L2089" s="285"/>
      <c r="M2089" s="285"/>
      <c r="N2089" s="283"/>
      <c r="O2089" s="287"/>
      <c r="P2089" s="288"/>
      <c r="Q2089" s="289"/>
      <c r="R2089" s="290"/>
      <c r="S2089" s="291"/>
      <c r="T2089" s="291"/>
      <c r="U2089" s="292"/>
      <c r="V2089" s="259"/>
      <c r="W2089" s="259"/>
    </row>
    <row r="2090" spans="1:23" s="247" customFormat="1" x14ac:dyDescent="0.25">
      <c r="A2090" s="232"/>
      <c r="B2090" s="283"/>
      <c r="C2090" s="284"/>
      <c r="D2090" s="283"/>
      <c r="E2090" s="284"/>
      <c r="F2090" s="284"/>
      <c r="G2090" s="285"/>
      <c r="H2090" s="285"/>
      <c r="I2090" s="285"/>
      <c r="J2090" s="286"/>
      <c r="K2090" s="285"/>
      <c r="L2090" s="285"/>
      <c r="M2090" s="285"/>
      <c r="N2090" s="283"/>
      <c r="O2090" s="287"/>
      <c r="P2090" s="288"/>
      <c r="Q2090" s="289"/>
      <c r="R2090" s="290"/>
      <c r="S2090" s="291"/>
      <c r="T2090" s="291"/>
      <c r="U2090" s="292"/>
      <c r="V2090" s="259"/>
      <c r="W2090" s="259"/>
    </row>
    <row r="2091" spans="1:23" s="247" customFormat="1" x14ac:dyDescent="0.25">
      <c r="A2091" s="232"/>
      <c r="B2091" s="283"/>
      <c r="C2091" s="284"/>
      <c r="D2091" s="283"/>
      <c r="E2091" s="284"/>
      <c r="F2091" s="284"/>
      <c r="G2091" s="285"/>
      <c r="H2091" s="285"/>
      <c r="I2091" s="285"/>
      <c r="J2091" s="286"/>
      <c r="K2091" s="285"/>
      <c r="L2091" s="285"/>
      <c r="M2091" s="285"/>
      <c r="N2091" s="283"/>
      <c r="O2091" s="287"/>
      <c r="P2091" s="288"/>
      <c r="Q2091" s="289"/>
      <c r="R2091" s="290"/>
      <c r="S2091" s="291"/>
      <c r="T2091" s="291"/>
      <c r="U2091" s="292"/>
      <c r="V2091" s="259"/>
      <c r="W2091" s="259"/>
    </row>
    <row r="2092" spans="1:23" s="247" customFormat="1" x14ac:dyDescent="0.25">
      <c r="A2092" s="232"/>
      <c r="B2092" s="283"/>
      <c r="C2092" s="284"/>
      <c r="D2092" s="283"/>
      <c r="E2092" s="284"/>
      <c r="F2092" s="284"/>
      <c r="G2092" s="285"/>
      <c r="H2092" s="285"/>
      <c r="I2092" s="285"/>
      <c r="J2092" s="286"/>
      <c r="K2092" s="285"/>
      <c r="L2092" s="285"/>
      <c r="M2092" s="285"/>
      <c r="N2092" s="283"/>
      <c r="O2092" s="287"/>
      <c r="P2092" s="288"/>
      <c r="Q2092" s="289"/>
      <c r="R2092" s="290"/>
      <c r="S2092" s="291"/>
      <c r="T2092" s="291"/>
      <c r="U2092" s="292"/>
      <c r="V2092" s="259"/>
      <c r="W2092" s="259"/>
    </row>
    <row r="2093" spans="1:23" s="247" customFormat="1" x14ac:dyDescent="0.25">
      <c r="A2093" s="232"/>
      <c r="B2093" s="283"/>
      <c r="C2093" s="284"/>
      <c r="D2093" s="283"/>
      <c r="E2093" s="284"/>
      <c r="F2093" s="284"/>
      <c r="G2093" s="285"/>
      <c r="H2093" s="285"/>
      <c r="I2093" s="285"/>
      <c r="J2093" s="286"/>
      <c r="K2093" s="285"/>
      <c r="L2093" s="285"/>
      <c r="M2093" s="285"/>
      <c r="N2093" s="283"/>
      <c r="O2093" s="287"/>
      <c r="P2093" s="288"/>
      <c r="Q2093" s="289"/>
      <c r="R2093" s="290"/>
      <c r="S2093" s="291"/>
      <c r="T2093" s="291"/>
      <c r="U2093" s="292"/>
      <c r="V2093" s="259"/>
      <c r="W2093" s="259"/>
    </row>
    <row r="2094" spans="1:23" s="247" customFormat="1" x14ac:dyDescent="0.25">
      <c r="A2094" s="232"/>
      <c r="B2094" s="283"/>
      <c r="C2094" s="284"/>
      <c r="D2094" s="283"/>
      <c r="E2094" s="284"/>
      <c r="F2094" s="284"/>
      <c r="G2094" s="285"/>
      <c r="H2094" s="285"/>
      <c r="I2094" s="285"/>
      <c r="J2094" s="286"/>
      <c r="K2094" s="285"/>
      <c r="L2094" s="285"/>
      <c r="M2094" s="285"/>
      <c r="N2094" s="283"/>
      <c r="O2094" s="287"/>
      <c r="P2094" s="288"/>
      <c r="Q2094" s="289"/>
      <c r="R2094" s="290"/>
      <c r="S2094" s="291"/>
      <c r="T2094" s="291"/>
      <c r="U2094" s="292"/>
      <c r="V2094" s="259"/>
      <c r="W2094" s="259"/>
    </row>
    <row r="2095" spans="1:23" s="247" customFormat="1" x14ac:dyDescent="0.25">
      <c r="A2095" s="232"/>
      <c r="B2095" s="283"/>
      <c r="C2095" s="284"/>
      <c r="D2095" s="283"/>
      <c r="E2095" s="284"/>
      <c r="F2095" s="284"/>
      <c r="G2095" s="285"/>
      <c r="H2095" s="285"/>
      <c r="I2095" s="285"/>
      <c r="J2095" s="286"/>
      <c r="K2095" s="285"/>
      <c r="L2095" s="285"/>
      <c r="M2095" s="285"/>
      <c r="N2095" s="283"/>
      <c r="O2095" s="287"/>
      <c r="P2095" s="288"/>
      <c r="Q2095" s="289"/>
      <c r="R2095" s="290"/>
      <c r="S2095" s="291"/>
      <c r="T2095" s="291"/>
      <c r="U2095" s="292"/>
      <c r="V2095" s="259"/>
      <c r="W2095" s="259"/>
    </row>
    <row r="2096" spans="1:23" s="247" customFormat="1" x14ac:dyDescent="0.25">
      <c r="A2096" s="232"/>
      <c r="B2096" s="283"/>
      <c r="C2096" s="284"/>
      <c r="D2096" s="283"/>
      <c r="E2096" s="284"/>
      <c r="F2096" s="284"/>
      <c r="G2096" s="285"/>
      <c r="H2096" s="285"/>
      <c r="I2096" s="285"/>
      <c r="J2096" s="286"/>
      <c r="K2096" s="285"/>
      <c r="L2096" s="285"/>
      <c r="M2096" s="285"/>
      <c r="N2096" s="283"/>
      <c r="O2096" s="287"/>
      <c r="P2096" s="288"/>
      <c r="Q2096" s="289"/>
      <c r="R2096" s="290"/>
      <c r="S2096" s="291"/>
      <c r="T2096" s="291"/>
      <c r="U2096" s="292"/>
      <c r="V2096" s="259"/>
      <c r="W2096" s="259"/>
    </row>
    <row r="2097" spans="1:23" s="247" customFormat="1" x14ac:dyDescent="0.25">
      <c r="A2097" s="232"/>
      <c r="B2097" s="283"/>
      <c r="C2097" s="284"/>
      <c r="D2097" s="283"/>
      <c r="E2097" s="284"/>
      <c r="F2097" s="284"/>
      <c r="G2097" s="285"/>
      <c r="H2097" s="285"/>
      <c r="I2097" s="285"/>
      <c r="J2097" s="286"/>
      <c r="K2097" s="285"/>
      <c r="L2097" s="285"/>
      <c r="M2097" s="285"/>
      <c r="N2097" s="283"/>
      <c r="O2097" s="287"/>
      <c r="P2097" s="288"/>
      <c r="Q2097" s="289"/>
      <c r="R2097" s="290"/>
      <c r="S2097" s="291"/>
      <c r="T2097" s="291"/>
      <c r="U2097" s="292"/>
      <c r="V2097" s="259"/>
      <c r="W2097" s="259"/>
    </row>
    <row r="2098" spans="1:23" s="247" customFormat="1" x14ac:dyDescent="0.25">
      <c r="A2098" s="232"/>
      <c r="B2098" s="283"/>
      <c r="C2098" s="284"/>
      <c r="D2098" s="283"/>
      <c r="E2098" s="284"/>
      <c r="F2098" s="284"/>
      <c r="G2098" s="285"/>
      <c r="H2098" s="285"/>
      <c r="I2098" s="285"/>
      <c r="J2098" s="286"/>
      <c r="K2098" s="285"/>
      <c r="L2098" s="285"/>
      <c r="M2098" s="285"/>
      <c r="N2098" s="283"/>
      <c r="O2098" s="287"/>
      <c r="P2098" s="288"/>
      <c r="Q2098" s="289"/>
      <c r="R2098" s="290"/>
      <c r="S2098" s="291"/>
      <c r="T2098" s="291"/>
      <c r="U2098" s="292"/>
      <c r="V2098" s="259"/>
      <c r="W2098" s="259"/>
    </row>
    <row r="2099" spans="1:23" s="247" customFormat="1" x14ac:dyDescent="0.25">
      <c r="A2099" s="232"/>
      <c r="B2099" s="283"/>
      <c r="C2099" s="284"/>
      <c r="D2099" s="283"/>
      <c r="E2099" s="284"/>
      <c r="F2099" s="284"/>
      <c r="G2099" s="285"/>
      <c r="H2099" s="285"/>
      <c r="I2099" s="285"/>
      <c r="J2099" s="286"/>
      <c r="K2099" s="285"/>
      <c r="L2099" s="285"/>
      <c r="M2099" s="285"/>
      <c r="N2099" s="283"/>
      <c r="O2099" s="287"/>
      <c r="P2099" s="288"/>
      <c r="Q2099" s="289"/>
      <c r="R2099" s="290"/>
      <c r="S2099" s="291"/>
      <c r="T2099" s="291"/>
      <c r="U2099" s="292"/>
      <c r="V2099" s="259"/>
      <c r="W2099" s="259"/>
    </row>
    <row r="2100" spans="1:23" s="247" customFormat="1" x14ac:dyDescent="0.25">
      <c r="A2100" s="232"/>
      <c r="B2100" s="283"/>
      <c r="C2100" s="284"/>
      <c r="D2100" s="283"/>
      <c r="E2100" s="284"/>
      <c r="F2100" s="284"/>
      <c r="G2100" s="285"/>
      <c r="H2100" s="285"/>
      <c r="I2100" s="285"/>
      <c r="J2100" s="286"/>
      <c r="K2100" s="285"/>
      <c r="L2100" s="285"/>
      <c r="M2100" s="285"/>
      <c r="N2100" s="283"/>
      <c r="O2100" s="287"/>
      <c r="P2100" s="288"/>
      <c r="Q2100" s="289"/>
      <c r="R2100" s="290"/>
      <c r="S2100" s="291"/>
      <c r="T2100" s="291"/>
      <c r="U2100" s="292"/>
      <c r="V2100" s="259"/>
      <c r="W2100" s="259"/>
    </row>
    <row r="2101" spans="1:23" s="247" customFormat="1" x14ac:dyDescent="0.25">
      <c r="A2101" s="232"/>
      <c r="B2101" s="283"/>
      <c r="C2101" s="284"/>
      <c r="D2101" s="283"/>
      <c r="E2101" s="284"/>
      <c r="F2101" s="284"/>
      <c r="G2101" s="285"/>
      <c r="H2101" s="285"/>
      <c r="I2101" s="285"/>
      <c r="J2101" s="286"/>
      <c r="K2101" s="285"/>
      <c r="L2101" s="285"/>
      <c r="M2101" s="285"/>
      <c r="N2101" s="283"/>
      <c r="O2101" s="287"/>
      <c r="P2101" s="288"/>
      <c r="Q2101" s="289"/>
      <c r="R2101" s="290"/>
      <c r="S2101" s="291"/>
      <c r="T2101" s="291"/>
      <c r="U2101" s="292"/>
      <c r="V2101" s="259"/>
      <c r="W2101" s="259"/>
    </row>
    <row r="2102" spans="1:23" s="247" customFormat="1" x14ac:dyDescent="0.25">
      <c r="A2102" s="232"/>
      <c r="B2102" s="283"/>
      <c r="C2102" s="284"/>
      <c r="D2102" s="283"/>
      <c r="E2102" s="284"/>
      <c r="F2102" s="284"/>
      <c r="G2102" s="285"/>
      <c r="H2102" s="285"/>
      <c r="I2102" s="285"/>
      <c r="J2102" s="286"/>
      <c r="K2102" s="285"/>
      <c r="L2102" s="285"/>
      <c r="M2102" s="285"/>
      <c r="N2102" s="283"/>
      <c r="O2102" s="287"/>
      <c r="P2102" s="288"/>
      <c r="Q2102" s="289"/>
      <c r="R2102" s="290"/>
      <c r="S2102" s="291"/>
      <c r="T2102" s="291"/>
      <c r="U2102" s="292"/>
      <c r="V2102" s="259"/>
      <c r="W2102" s="259"/>
    </row>
    <row r="2103" spans="1:23" s="247" customFormat="1" x14ac:dyDescent="0.25">
      <c r="A2103" s="232"/>
      <c r="B2103" s="283"/>
      <c r="C2103" s="284"/>
      <c r="D2103" s="283"/>
      <c r="E2103" s="284"/>
      <c r="F2103" s="284"/>
      <c r="G2103" s="285"/>
      <c r="H2103" s="285"/>
      <c r="I2103" s="285"/>
      <c r="J2103" s="286"/>
      <c r="K2103" s="285"/>
      <c r="L2103" s="285"/>
      <c r="M2103" s="285"/>
      <c r="N2103" s="283"/>
      <c r="O2103" s="287"/>
      <c r="P2103" s="288"/>
      <c r="Q2103" s="289"/>
      <c r="R2103" s="290"/>
      <c r="S2103" s="291"/>
      <c r="T2103" s="291"/>
      <c r="U2103" s="292"/>
      <c r="V2103" s="259"/>
      <c r="W2103" s="259"/>
    </row>
    <row r="2104" spans="1:23" s="247" customFormat="1" x14ac:dyDescent="0.25">
      <c r="A2104" s="232"/>
      <c r="B2104" s="283"/>
      <c r="C2104" s="284"/>
      <c r="D2104" s="283"/>
      <c r="E2104" s="284"/>
      <c r="F2104" s="284"/>
      <c r="G2104" s="285"/>
      <c r="H2104" s="285"/>
      <c r="I2104" s="285"/>
      <c r="J2104" s="286"/>
      <c r="K2104" s="285"/>
      <c r="L2104" s="285"/>
      <c r="M2104" s="285"/>
      <c r="N2104" s="283"/>
      <c r="O2104" s="287"/>
      <c r="P2104" s="288"/>
      <c r="Q2104" s="289"/>
      <c r="R2104" s="290"/>
      <c r="S2104" s="291"/>
      <c r="T2104" s="291"/>
      <c r="U2104" s="292"/>
      <c r="V2104" s="259"/>
      <c r="W2104" s="259"/>
    </row>
    <row r="2105" spans="1:23" s="247" customFormat="1" x14ac:dyDescent="0.25">
      <c r="A2105" s="232"/>
      <c r="B2105" s="283"/>
      <c r="C2105" s="284"/>
      <c r="D2105" s="283"/>
      <c r="E2105" s="284"/>
      <c r="F2105" s="284"/>
      <c r="G2105" s="285"/>
      <c r="H2105" s="285"/>
      <c r="I2105" s="285"/>
      <c r="J2105" s="286"/>
      <c r="K2105" s="285"/>
      <c r="L2105" s="285"/>
      <c r="M2105" s="285"/>
      <c r="N2105" s="283"/>
      <c r="O2105" s="287"/>
      <c r="P2105" s="288"/>
      <c r="Q2105" s="289"/>
      <c r="R2105" s="290"/>
      <c r="S2105" s="291"/>
      <c r="T2105" s="291"/>
      <c r="U2105" s="292"/>
      <c r="V2105" s="259"/>
      <c r="W2105" s="259"/>
    </row>
    <row r="2106" spans="1:23" s="247" customFormat="1" x14ac:dyDescent="0.25">
      <c r="A2106" s="232"/>
      <c r="B2106" s="283"/>
      <c r="C2106" s="284"/>
      <c r="D2106" s="283"/>
      <c r="E2106" s="284"/>
      <c r="F2106" s="284"/>
      <c r="G2106" s="285"/>
      <c r="H2106" s="285"/>
      <c r="I2106" s="285"/>
      <c r="J2106" s="286"/>
      <c r="K2106" s="285"/>
      <c r="L2106" s="285"/>
      <c r="M2106" s="285"/>
      <c r="N2106" s="283"/>
      <c r="O2106" s="287"/>
      <c r="P2106" s="288"/>
      <c r="Q2106" s="289"/>
      <c r="R2106" s="290"/>
      <c r="S2106" s="291"/>
      <c r="T2106" s="291"/>
      <c r="U2106" s="292"/>
      <c r="V2106" s="259"/>
      <c r="W2106" s="259"/>
    </row>
    <row r="2107" spans="1:23" s="247" customFormat="1" x14ac:dyDescent="0.25">
      <c r="A2107" s="232"/>
      <c r="B2107" s="283"/>
      <c r="C2107" s="284"/>
      <c r="D2107" s="283"/>
      <c r="E2107" s="284"/>
      <c r="F2107" s="284"/>
      <c r="G2107" s="285"/>
      <c r="H2107" s="285"/>
      <c r="I2107" s="285"/>
      <c r="J2107" s="286"/>
      <c r="K2107" s="285"/>
      <c r="L2107" s="285"/>
      <c r="M2107" s="285"/>
      <c r="N2107" s="283"/>
      <c r="O2107" s="287"/>
      <c r="P2107" s="288"/>
      <c r="Q2107" s="289"/>
      <c r="R2107" s="290"/>
      <c r="S2107" s="291"/>
      <c r="T2107" s="291"/>
      <c r="U2107" s="292"/>
      <c r="V2107" s="259"/>
      <c r="W2107" s="259"/>
    </row>
    <row r="2108" spans="1:23" s="247" customFormat="1" x14ac:dyDescent="0.25">
      <c r="A2108" s="232"/>
      <c r="B2108" s="283"/>
      <c r="C2108" s="284"/>
      <c r="D2108" s="283"/>
      <c r="E2108" s="284"/>
      <c r="F2108" s="284"/>
      <c r="G2108" s="285"/>
      <c r="H2108" s="285"/>
      <c r="I2108" s="285"/>
      <c r="J2108" s="286"/>
      <c r="K2108" s="285"/>
      <c r="L2108" s="285"/>
      <c r="M2108" s="285"/>
      <c r="N2108" s="283"/>
      <c r="O2108" s="287"/>
      <c r="P2108" s="288"/>
      <c r="Q2108" s="289"/>
      <c r="R2108" s="290"/>
      <c r="S2108" s="291"/>
      <c r="T2108" s="291"/>
      <c r="U2108" s="292"/>
      <c r="V2108" s="259"/>
      <c r="W2108" s="259"/>
    </row>
    <row r="2109" spans="1:23" s="247" customFormat="1" x14ac:dyDescent="0.25">
      <c r="A2109" s="232"/>
      <c r="B2109" s="283"/>
      <c r="C2109" s="284"/>
      <c r="D2109" s="283"/>
      <c r="E2109" s="284"/>
      <c r="F2109" s="284"/>
      <c r="G2109" s="285"/>
      <c r="H2109" s="285"/>
      <c r="I2109" s="285"/>
      <c r="J2109" s="286"/>
      <c r="K2109" s="285"/>
      <c r="L2109" s="285"/>
      <c r="M2109" s="285"/>
      <c r="N2109" s="283"/>
      <c r="O2109" s="287"/>
      <c r="P2109" s="288"/>
      <c r="Q2109" s="289"/>
      <c r="R2109" s="290"/>
      <c r="S2109" s="291"/>
      <c r="T2109" s="291"/>
      <c r="U2109" s="292"/>
      <c r="V2109" s="259"/>
      <c r="W2109" s="259"/>
    </row>
    <row r="2110" spans="1:23" s="247" customFormat="1" x14ac:dyDescent="0.25">
      <c r="A2110" s="232"/>
      <c r="B2110" s="283"/>
      <c r="C2110" s="284"/>
      <c r="D2110" s="283"/>
      <c r="E2110" s="284"/>
      <c r="F2110" s="284"/>
      <c r="G2110" s="285"/>
      <c r="H2110" s="285"/>
      <c r="I2110" s="285"/>
      <c r="J2110" s="286"/>
      <c r="K2110" s="285"/>
      <c r="L2110" s="285"/>
      <c r="M2110" s="285"/>
      <c r="N2110" s="283"/>
      <c r="O2110" s="287"/>
      <c r="P2110" s="288"/>
      <c r="Q2110" s="289"/>
      <c r="R2110" s="290"/>
      <c r="S2110" s="291"/>
      <c r="T2110" s="291"/>
      <c r="U2110" s="292"/>
      <c r="V2110" s="259"/>
      <c r="W2110" s="259"/>
    </row>
    <row r="2111" spans="1:23" s="247" customFormat="1" x14ac:dyDescent="0.25">
      <c r="A2111" s="232"/>
      <c r="B2111" s="283"/>
      <c r="C2111" s="284"/>
      <c r="D2111" s="283"/>
      <c r="E2111" s="284"/>
      <c r="F2111" s="284"/>
      <c r="G2111" s="285"/>
      <c r="H2111" s="285"/>
      <c r="I2111" s="285"/>
      <c r="J2111" s="286"/>
      <c r="K2111" s="285"/>
      <c r="L2111" s="285"/>
      <c r="M2111" s="285"/>
      <c r="N2111" s="283"/>
      <c r="O2111" s="287"/>
      <c r="P2111" s="288"/>
      <c r="Q2111" s="289"/>
      <c r="R2111" s="290"/>
      <c r="S2111" s="291"/>
      <c r="T2111" s="291"/>
      <c r="U2111" s="292"/>
      <c r="V2111" s="259"/>
      <c r="W2111" s="259"/>
    </row>
    <row r="2112" spans="1:23" s="247" customFormat="1" x14ac:dyDescent="0.25">
      <c r="A2112" s="232"/>
      <c r="B2112" s="283"/>
      <c r="C2112" s="284"/>
      <c r="D2112" s="283"/>
      <c r="E2112" s="284"/>
      <c r="F2112" s="284"/>
      <c r="G2112" s="285"/>
      <c r="H2112" s="285"/>
      <c r="I2112" s="285"/>
      <c r="J2112" s="286"/>
      <c r="K2112" s="285"/>
      <c r="L2112" s="285"/>
      <c r="M2112" s="285"/>
      <c r="N2112" s="283"/>
      <c r="O2112" s="287"/>
      <c r="P2112" s="288"/>
      <c r="Q2112" s="289"/>
      <c r="R2112" s="290"/>
      <c r="S2112" s="291"/>
      <c r="T2112" s="291"/>
      <c r="U2112" s="292"/>
      <c r="V2112" s="259"/>
      <c r="W2112" s="259"/>
    </row>
    <row r="2113" spans="1:23" s="247" customFormat="1" x14ac:dyDescent="0.25">
      <c r="A2113" s="232"/>
      <c r="B2113" s="283"/>
      <c r="C2113" s="284"/>
      <c r="D2113" s="283"/>
      <c r="E2113" s="284"/>
      <c r="F2113" s="284"/>
      <c r="G2113" s="285"/>
      <c r="H2113" s="285"/>
      <c r="I2113" s="285"/>
      <c r="J2113" s="286"/>
      <c r="K2113" s="285"/>
      <c r="L2113" s="285"/>
      <c r="M2113" s="285"/>
      <c r="N2113" s="283"/>
      <c r="O2113" s="287"/>
      <c r="P2113" s="288"/>
      <c r="Q2113" s="289"/>
      <c r="R2113" s="290"/>
      <c r="S2113" s="291"/>
      <c r="T2113" s="291"/>
      <c r="U2113" s="292"/>
      <c r="V2113" s="259"/>
      <c r="W2113" s="259"/>
    </row>
    <row r="2114" spans="1:23" s="247" customFormat="1" x14ac:dyDescent="0.25">
      <c r="A2114" s="232"/>
      <c r="B2114" s="283"/>
      <c r="C2114" s="284"/>
      <c r="D2114" s="283"/>
      <c r="E2114" s="284"/>
      <c r="F2114" s="284"/>
      <c r="G2114" s="285"/>
      <c r="H2114" s="285"/>
      <c r="I2114" s="285"/>
      <c r="J2114" s="286"/>
      <c r="K2114" s="285"/>
      <c r="L2114" s="285"/>
      <c r="M2114" s="285"/>
      <c r="N2114" s="283"/>
      <c r="O2114" s="287"/>
      <c r="P2114" s="288"/>
      <c r="Q2114" s="289"/>
      <c r="R2114" s="290"/>
      <c r="S2114" s="291"/>
      <c r="T2114" s="291"/>
      <c r="U2114" s="292"/>
      <c r="V2114" s="259"/>
      <c r="W2114" s="259"/>
    </row>
    <row r="2115" spans="1:23" s="247" customFormat="1" x14ac:dyDescent="0.25">
      <c r="A2115" s="232"/>
      <c r="B2115" s="283"/>
      <c r="C2115" s="284"/>
      <c r="D2115" s="283"/>
      <c r="E2115" s="284"/>
      <c r="F2115" s="284"/>
      <c r="G2115" s="285"/>
      <c r="H2115" s="285"/>
      <c r="I2115" s="285"/>
      <c r="J2115" s="286"/>
      <c r="K2115" s="285"/>
      <c r="L2115" s="285"/>
      <c r="M2115" s="285"/>
      <c r="N2115" s="283"/>
      <c r="O2115" s="287"/>
      <c r="P2115" s="288"/>
      <c r="Q2115" s="289"/>
      <c r="R2115" s="290"/>
      <c r="S2115" s="291"/>
      <c r="T2115" s="291"/>
      <c r="U2115" s="292"/>
      <c r="V2115" s="259"/>
      <c r="W2115" s="259"/>
    </row>
    <row r="2116" spans="1:23" s="247" customFormat="1" x14ac:dyDescent="0.25">
      <c r="A2116" s="232"/>
      <c r="B2116" s="283"/>
      <c r="C2116" s="284"/>
      <c r="D2116" s="283"/>
      <c r="E2116" s="284"/>
      <c r="F2116" s="284"/>
      <c r="G2116" s="285"/>
      <c r="H2116" s="285"/>
      <c r="I2116" s="285"/>
      <c r="J2116" s="286"/>
      <c r="K2116" s="285"/>
      <c r="L2116" s="285"/>
      <c r="M2116" s="285"/>
      <c r="N2116" s="283"/>
      <c r="O2116" s="287"/>
      <c r="P2116" s="288"/>
      <c r="Q2116" s="289"/>
      <c r="R2116" s="290"/>
      <c r="S2116" s="291"/>
      <c r="T2116" s="291"/>
      <c r="U2116" s="292"/>
      <c r="V2116" s="259"/>
      <c r="W2116" s="259"/>
    </row>
    <row r="2117" spans="1:23" s="247" customFormat="1" x14ac:dyDescent="0.25">
      <c r="A2117" s="232"/>
      <c r="B2117" s="283"/>
      <c r="C2117" s="284"/>
      <c r="D2117" s="283"/>
      <c r="E2117" s="284"/>
      <c r="F2117" s="284"/>
      <c r="G2117" s="285"/>
      <c r="H2117" s="285"/>
      <c r="I2117" s="285"/>
      <c r="J2117" s="286"/>
      <c r="K2117" s="285"/>
      <c r="L2117" s="285"/>
      <c r="M2117" s="285"/>
      <c r="N2117" s="283"/>
      <c r="O2117" s="287"/>
      <c r="P2117" s="288"/>
      <c r="Q2117" s="289"/>
      <c r="R2117" s="290"/>
      <c r="S2117" s="291"/>
      <c r="T2117" s="291"/>
      <c r="U2117" s="292"/>
      <c r="V2117" s="259"/>
      <c r="W2117" s="259"/>
    </row>
    <row r="2118" spans="1:23" s="247" customFormat="1" x14ac:dyDescent="0.25">
      <c r="A2118" s="232"/>
      <c r="B2118" s="283"/>
      <c r="C2118" s="284"/>
      <c r="D2118" s="283"/>
      <c r="E2118" s="284"/>
      <c r="F2118" s="284"/>
      <c r="G2118" s="285"/>
      <c r="H2118" s="285"/>
      <c r="I2118" s="285"/>
      <c r="J2118" s="286"/>
      <c r="K2118" s="285"/>
      <c r="L2118" s="285"/>
      <c r="M2118" s="285"/>
      <c r="N2118" s="283"/>
      <c r="O2118" s="287"/>
      <c r="P2118" s="288"/>
      <c r="Q2118" s="289"/>
      <c r="R2118" s="290"/>
      <c r="S2118" s="291"/>
      <c r="T2118" s="291"/>
      <c r="U2118" s="292"/>
      <c r="V2118" s="259"/>
      <c r="W2118" s="259"/>
    </row>
    <row r="2119" spans="1:23" s="247" customFormat="1" x14ac:dyDescent="0.25">
      <c r="A2119" s="232"/>
      <c r="B2119" s="283"/>
      <c r="C2119" s="284"/>
      <c r="D2119" s="283"/>
      <c r="E2119" s="284"/>
      <c r="F2119" s="284"/>
      <c r="G2119" s="285"/>
      <c r="H2119" s="285"/>
      <c r="I2119" s="285"/>
      <c r="J2119" s="286"/>
      <c r="K2119" s="285"/>
      <c r="L2119" s="285"/>
      <c r="M2119" s="285"/>
      <c r="N2119" s="283"/>
      <c r="O2119" s="287"/>
      <c r="P2119" s="288"/>
      <c r="Q2119" s="289"/>
      <c r="R2119" s="290"/>
      <c r="S2119" s="291"/>
      <c r="T2119" s="291"/>
      <c r="U2119" s="292"/>
      <c r="V2119" s="259"/>
      <c r="W2119" s="259"/>
    </row>
    <row r="2120" spans="1:23" s="247" customFormat="1" x14ac:dyDescent="0.25">
      <c r="A2120" s="232"/>
      <c r="B2120" s="283"/>
      <c r="C2120" s="284"/>
      <c r="D2120" s="283"/>
      <c r="E2120" s="284"/>
      <c r="F2120" s="284"/>
      <c r="G2120" s="285"/>
      <c r="H2120" s="285"/>
      <c r="I2120" s="285"/>
      <c r="J2120" s="286"/>
      <c r="K2120" s="285"/>
      <c r="L2120" s="285"/>
      <c r="M2120" s="285"/>
      <c r="N2120" s="283"/>
      <c r="O2120" s="287"/>
      <c r="P2120" s="288"/>
      <c r="Q2120" s="289"/>
      <c r="R2120" s="290"/>
      <c r="S2120" s="291"/>
      <c r="T2120" s="291"/>
      <c r="U2120" s="292"/>
      <c r="V2120" s="259"/>
      <c r="W2120" s="259"/>
    </row>
    <row r="2121" spans="1:23" s="247" customFormat="1" x14ac:dyDescent="0.25">
      <c r="A2121" s="232"/>
      <c r="B2121" s="283"/>
      <c r="C2121" s="284"/>
      <c r="D2121" s="283"/>
      <c r="E2121" s="284"/>
      <c r="F2121" s="284"/>
      <c r="G2121" s="285"/>
      <c r="H2121" s="285"/>
      <c r="I2121" s="285"/>
      <c r="J2121" s="286"/>
      <c r="K2121" s="285"/>
      <c r="L2121" s="285"/>
      <c r="M2121" s="285"/>
      <c r="N2121" s="283"/>
      <c r="O2121" s="287"/>
      <c r="P2121" s="288"/>
      <c r="Q2121" s="289"/>
      <c r="R2121" s="290"/>
      <c r="S2121" s="291"/>
      <c r="T2121" s="291"/>
      <c r="U2121" s="292"/>
      <c r="V2121" s="259"/>
      <c r="W2121" s="259"/>
    </row>
    <row r="2122" spans="1:23" s="247" customFormat="1" x14ac:dyDescent="0.25">
      <c r="A2122" s="232"/>
      <c r="B2122" s="283"/>
      <c r="C2122" s="284"/>
      <c r="D2122" s="283"/>
      <c r="E2122" s="284"/>
      <c r="F2122" s="284"/>
      <c r="G2122" s="285"/>
      <c r="H2122" s="285"/>
      <c r="I2122" s="285"/>
      <c r="J2122" s="286"/>
      <c r="K2122" s="285"/>
      <c r="L2122" s="285"/>
      <c r="M2122" s="285"/>
      <c r="N2122" s="283"/>
      <c r="O2122" s="287"/>
      <c r="P2122" s="288"/>
      <c r="Q2122" s="289"/>
      <c r="R2122" s="290"/>
      <c r="S2122" s="291"/>
      <c r="T2122" s="291"/>
      <c r="U2122" s="292"/>
      <c r="V2122" s="259"/>
      <c r="W2122" s="259"/>
    </row>
    <row r="2123" spans="1:23" s="247" customFormat="1" x14ac:dyDescent="0.25">
      <c r="A2123" s="232"/>
      <c r="B2123" s="283"/>
      <c r="C2123" s="284"/>
      <c r="D2123" s="283"/>
      <c r="E2123" s="284"/>
      <c r="F2123" s="284"/>
      <c r="G2123" s="285"/>
      <c r="H2123" s="285"/>
      <c r="I2123" s="285"/>
      <c r="J2123" s="286"/>
      <c r="K2123" s="285"/>
      <c r="L2123" s="285"/>
      <c r="M2123" s="285"/>
      <c r="N2123" s="283"/>
      <c r="O2123" s="287"/>
      <c r="P2123" s="288"/>
      <c r="Q2123" s="289"/>
      <c r="R2123" s="290"/>
      <c r="S2123" s="291"/>
      <c r="T2123" s="291"/>
      <c r="U2123" s="292"/>
      <c r="V2123" s="259"/>
      <c r="W2123" s="259"/>
    </row>
    <row r="2124" spans="1:23" s="247" customFormat="1" x14ac:dyDescent="0.25">
      <c r="A2124" s="232"/>
      <c r="B2124" s="283"/>
      <c r="C2124" s="284"/>
      <c r="D2124" s="283"/>
      <c r="E2124" s="284"/>
      <c r="F2124" s="284"/>
      <c r="G2124" s="285"/>
      <c r="H2124" s="285"/>
      <c r="I2124" s="285"/>
      <c r="J2124" s="286"/>
      <c r="K2124" s="285"/>
      <c r="L2124" s="285"/>
      <c r="M2124" s="285"/>
      <c r="N2124" s="283"/>
      <c r="O2124" s="287"/>
      <c r="P2124" s="288"/>
      <c r="Q2124" s="289"/>
      <c r="R2124" s="290"/>
      <c r="S2124" s="291"/>
      <c r="T2124" s="291"/>
      <c r="U2124" s="292"/>
      <c r="V2124" s="259"/>
      <c r="W2124" s="259"/>
    </row>
    <row r="2125" spans="1:23" s="247" customFormat="1" x14ac:dyDescent="0.25">
      <c r="A2125" s="232"/>
      <c r="B2125" s="283"/>
      <c r="C2125" s="284"/>
      <c r="D2125" s="283"/>
      <c r="E2125" s="284"/>
      <c r="F2125" s="284"/>
      <c r="G2125" s="285"/>
      <c r="H2125" s="285"/>
      <c r="I2125" s="285"/>
      <c r="J2125" s="286"/>
      <c r="K2125" s="285"/>
      <c r="L2125" s="285"/>
      <c r="M2125" s="285"/>
      <c r="N2125" s="283"/>
      <c r="O2125" s="287"/>
      <c r="P2125" s="288"/>
      <c r="Q2125" s="289"/>
      <c r="R2125" s="290"/>
      <c r="S2125" s="291"/>
      <c r="T2125" s="291"/>
      <c r="U2125" s="292"/>
      <c r="V2125" s="259"/>
      <c r="W2125" s="259"/>
    </row>
    <row r="2126" spans="1:23" s="247" customFormat="1" x14ac:dyDescent="0.25">
      <c r="A2126" s="232"/>
      <c r="B2126" s="283"/>
      <c r="C2126" s="284"/>
      <c r="D2126" s="283"/>
      <c r="E2126" s="284"/>
      <c r="F2126" s="284"/>
      <c r="G2126" s="285"/>
      <c r="H2126" s="285"/>
      <c r="I2126" s="285"/>
      <c r="J2126" s="286"/>
      <c r="K2126" s="285"/>
      <c r="L2126" s="285"/>
      <c r="M2126" s="285"/>
      <c r="N2126" s="283"/>
      <c r="O2126" s="287"/>
      <c r="P2126" s="288"/>
      <c r="Q2126" s="289"/>
      <c r="R2126" s="290"/>
      <c r="S2126" s="291"/>
      <c r="T2126" s="291"/>
      <c r="U2126" s="292"/>
      <c r="V2126" s="259"/>
      <c r="W2126" s="259"/>
    </row>
    <row r="2127" spans="1:23" s="247" customFormat="1" x14ac:dyDescent="0.25">
      <c r="A2127" s="232"/>
      <c r="B2127" s="283"/>
      <c r="C2127" s="284"/>
      <c r="D2127" s="283"/>
      <c r="E2127" s="284"/>
      <c r="F2127" s="284"/>
      <c r="G2127" s="285"/>
      <c r="H2127" s="285"/>
      <c r="I2127" s="285"/>
      <c r="J2127" s="286"/>
      <c r="K2127" s="285"/>
      <c r="L2127" s="285"/>
      <c r="M2127" s="285"/>
      <c r="N2127" s="283"/>
      <c r="O2127" s="287"/>
      <c r="P2127" s="288"/>
      <c r="Q2127" s="289"/>
      <c r="R2127" s="290"/>
      <c r="S2127" s="291"/>
      <c r="T2127" s="291"/>
      <c r="U2127" s="292"/>
      <c r="V2127" s="259"/>
      <c r="W2127" s="259"/>
    </row>
    <row r="2128" spans="1:23" s="247" customFormat="1" x14ac:dyDescent="0.25">
      <c r="A2128" s="232"/>
      <c r="B2128" s="283"/>
      <c r="C2128" s="284"/>
      <c r="D2128" s="283"/>
      <c r="E2128" s="284"/>
      <c r="F2128" s="284"/>
      <c r="G2128" s="285"/>
      <c r="H2128" s="285"/>
      <c r="I2128" s="285"/>
      <c r="J2128" s="286"/>
      <c r="K2128" s="285"/>
      <c r="L2128" s="285"/>
      <c r="M2128" s="285"/>
      <c r="N2128" s="283"/>
      <c r="O2128" s="287"/>
      <c r="P2128" s="288"/>
      <c r="Q2128" s="289"/>
      <c r="R2128" s="290"/>
      <c r="S2128" s="291"/>
      <c r="T2128" s="291"/>
      <c r="U2128" s="292"/>
      <c r="V2128" s="259"/>
      <c r="W2128" s="259"/>
    </row>
    <row r="2129" spans="1:23" s="247" customFormat="1" x14ac:dyDescent="0.25">
      <c r="A2129" s="232"/>
      <c r="B2129" s="283"/>
      <c r="C2129" s="284"/>
      <c r="D2129" s="283"/>
      <c r="E2129" s="284"/>
      <c r="F2129" s="284"/>
      <c r="G2129" s="285"/>
      <c r="H2129" s="285"/>
      <c r="I2129" s="285"/>
      <c r="J2129" s="286"/>
      <c r="K2129" s="285"/>
      <c r="L2129" s="285"/>
      <c r="M2129" s="285"/>
      <c r="N2129" s="283"/>
      <c r="O2129" s="287"/>
      <c r="P2129" s="288"/>
      <c r="Q2129" s="289"/>
      <c r="R2129" s="290"/>
      <c r="S2129" s="291"/>
      <c r="T2129" s="291"/>
      <c r="U2129" s="292"/>
      <c r="V2129" s="259"/>
      <c r="W2129" s="259"/>
    </row>
    <row r="2130" spans="1:23" s="247" customFormat="1" x14ac:dyDescent="0.25">
      <c r="A2130" s="232"/>
      <c r="B2130" s="283"/>
      <c r="C2130" s="284"/>
      <c r="D2130" s="283"/>
      <c r="E2130" s="284"/>
      <c r="F2130" s="284"/>
      <c r="G2130" s="285"/>
      <c r="H2130" s="285"/>
      <c r="I2130" s="285"/>
      <c r="J2130" s="286"/>
      <c r="K2130" s="285"/>
      <c r="L2130" s="285"/>
      <c r="M2130" s="285"/>
      <c r="N2130" s="283"/>
      <c r="O2130" s="287"/>
      <c r="P2130" s="288"/>
      <c r="Q2130" s="289"/>
      <c r="R2130" s="290"/>
      <c r="S2130" s="291"/>
      <c r="T2130" s="291"/>
      <c r="U2130" s="292"/>
      <c r="V2130" s="259"/>
      <c r="W2130" s="259"/>
    </row>
    <row r="2131" spans="1:23" s="247" customFormat="1" x14ac:dyDescent="0.25">
      <c r="A2131" s="232"/>
      <c r="B2131" s="283"/>
      <c r="C2131" s="284"/>
      <c r="D2131" s="283"/>
      <c r="E2131" s="284"/>
      <c r="F2131" s="284"/>
      <c r="G2131" s="285"/>
      <c r="H2131" s="285"/>
      <c r="I2131" s="285"/>
      <c r="J2131" s="286"/>
      <c r="K2131" s="285"/>
      <c r="L2131" s="285"/>
      <c r="M2131" s="285"/>
      <c r="N2131" s="283"/>
      <c r="O2131" s="287"/>
      <c r="P2131" s="288"/>
      <c r="Q2131" s="289"/>
      <c r="R2131" s="290"/>
      <c r="S2131" s="291"/>
      <c r="T2131" s="291"/>
      <c r="U2131" s="292"/>
      <c r="V2131" s="259"/>
      <c r="W2131" s="259"/>
    </row>
    <row r="2132" spans="1:23" s="247" customFormat="1" x14ac:dyDescent="0.25">
      <c r="A2132" s="232"/>
      <c r="B2132" s="283"/>
      <c r="C2132" s="284"/>
      <c r="D2132" s="283"/>
      <c r="E2132" s="284"/>
      <c r="F2132" s="284"/>
      <c r="G2132" s="285"/>
      <c r="H2132" s="285"/>
      <c r="I2132" s="285"/>
      <c r="J2132" s="286"/>
      <c r="K2132" s="285"/>
      <c r="L2132" s="285"/>
      <c r="M2132" s="285"/>
      <c r="N2132" s="283"/>
      <c r="O2132" s="287"/>
      <c r="P2132" s="288"/>
      <c r="Q2132" s="289"/>
      <c r="R2132" s="290"/>
      <c r="S2132" s="291"/>
      <c r="T2132" s="291"/>
      <c r="U2132" s="292"/>
      <c r="V2132" s="259"/>
      <c r="W2132" s="259"/>
    </row>
    <row r="2133" spans="1:23" s="247" customFormat="1" x14ac:dyDescent="0.25">
      <c r="A2133" s="232"/>
      <c r="B2133" s="283"/>
      <c r="C2133" s="284"/>
      <c r="D2133" s="283"/>
      <c r="E2133" s="284"/>
      <c r="F2133" s="284"/>
      <c r="G2133" s="285"/>
      <c r="H2133" s="285"/>
      <c r="I2133" s="285"/>
      <c r="J2133" s="286"/>
      <c r="K2133" s="285"/>
      <c r="L2133" s="285"/>
      <c r="M2133" s="285"/>
      <c r="N2133" s="283"/>
      <c r="O2133" s="287"/>
      <c r="P2133" s="288"/>
      <c r="Q2133" s="289"/>
      <c r="R2133" s="290"/>
      <c r="S2133" s="291"/>
      <c r="T2133" s="291"/>
      <c r="U2133" s="292"/>
      <c r="V2133" s="259"/>
      <c r="W2133" s="259"/>
    </row>
    <row r="2134" spans="1:23" s="247" customFormat="1" x14ac:dyDescent="0.25">
      <c r="A2134" s="232"/>
      <c r="B2134" s="283"/>
      <c r="C2134" s="284"/>
      <c r="D2134" s="283"/>
      <c r="E2134" s="284"/>
      <c r="F2134" s="284"/>
      <c r="G2134" s="285"/>
      <c r="H2134" s="285"/>
      <c r="I2134" s="285"/>
      <c r="J2134" s="286"/>
      <c r="K2134" s="285"/>
      <c r="L2134" s="285"/>
      <c r="M2134" s="285"/>
      <c r="N2134" s="283"/>
      <c r="O2134" s="287"/>
      <c r="P2134" s="288"/>
      <c r="Q2134" s="289"/>
      <c r="R2134" s="290"/>
      <c r="S2134" s="291"/>
      <c r="T2134" s="291"/>
      <c r="U2134" s="292"/>
      <c r="V2134" s="259"/>
      <c r="W2134" s="259"/>
    </row>
    <row r="2135" spans="1:23" s="247" customFormat="1" x14ac:dyDescent="0.25">
      <c r="A2135" s="232"/>
      <c r="B2135" s="283"/>
      <c r="C2135" s="284"/>
      <c r="D2135" s="283"/>
      <c r="E2135" s="284"/>
      <c r="F2135" s="284"/>
      <c r="G2135" s="285"/>
      <c r="H2135" s="285"/>
      <c r="I2135" s="285"/>
      <c r="J2135" s="286"/>
      <c r="K2135" s="285"/>
      <c r="L2135" s="285"/>
      <c r="M2135" s="285"/>
      <c r="N2135" s="283"/>
      <c r="O2135" s="287"/>
      <c r="P2135" s="288"/>
      <c r="Q2135" s="289"/>
      <c r="R2135" s="290"/>
      <c r="S2135" s="291"/>
      <c r="T2135" s="291"/>
      <c r="U2135" s="292"/>
      <c r="V2135" s="259"/>
      <c r="W2135" s="259"/>
    </row>
    <row r="2136" spans="1:23" s="247" customFormat="1" x14ac:dyDescent="0.25">
      <c r="A2136" s="232"/>
      <c r="B2136" s="283"/>
      <c r="C2136" s="284"/>
      <c r="D2136" s="283"/>
      <c r="E2136" s="284"/>
      <c r="F2136" s="284"/>
      <c r="G2136" s="285"/>
      <c r="H2136" s="285"/>
      <c r="I2136" s="285"/>
      <c r="J2136" s="286"/>
      <c r="K2136" s="285"/>
      <c r="L2136" s="285"/>
      <c r="M2136" s="285"/>
      <c r="N2136" s="283"/>
      <c r="O2136" s="287"/>
      <c r="P2136" s="288"/>
      <c r="Q2136" s="289"/>
      <c r="R2136" s="290"/>
      <c r="S2136" s="291"/>
      <c r="T2136" s="291"/>
      <c r="U2136" s="292"/>
      <c r="V2136" s="259"/>
      <c r="W2136" s="259"/>
    </row>
    <row r="2137" spans="1:23" s="247" customFormat="1" x14ac:dyDescent="0.25">
      <c r="A2137" s="232"/>
      <c r="B2137" s="283"/>
      <c r="C2137" s="284"/>
      <c r="D2137" s="283"/>
      <c r="E2137" s="284"/>
      <c r="F2137" s="284"/>
      <c r="G2137" s="285"/>
      <c r="H2137" s="285"/>
      <c r="I2137" s="285"/>
      <c r="J2137" s="286"/>
      <c r="K2137" s="285"/>
      <c r="L2137" s="285"/>
      <c r="M2137" s="285"/>
      <c r="N2137" s="283"/>
      <c r="O2137" s="287"/>
      <c r="P2137" s="288"/>
      <c r="Q2137" s="289"/>
      <c r="R2137" s="290"/>
      <c r="S2137" s="291"/>
      <c r="T2137" s="291"/>
      <c r="U2137" s="292"/>
      <c r="V2137" s="259"/>
      <c r="W2137" s="259"/>
    </row>
    <row r="2138" spans="1:23" s="247" customFormat="1" x14ac:dyDescent="0.25">
      <c r="A2138" s="232"/>
      <c r="B2138" s="283"/>
      <c r="C2138" s="284"/>
      <c r="D2138" s="283"/>
      <c r="E2138" s="284"/>
      <c r="F2138" s="284"/>
      <c r="G2138" s="285"/>
      <c r="H2138" s="285"/>
      <c r="I2138" s="285"/>
      <c r="J2138" s="286"/>
      <c r="K2138" s="285"/>
      <c r="L2138" s="285"/>
      <c r="M2138" s="285"/>
      <c r="N2138" s="283"/>
      <c r="O2138" s="287"/>
      <c r="P2138" s="288"/>
      <c r="Q2138" s="289"/>
      <c r="R2138" s="290"/>
      <c r="S2138" s="291"/>
      <c r="T2138" s="291"/>
      <c r="U2138" s="292"/>
      <c r="V2138" s="259"/>
      <c r="W2138" s="259"/>
    </row>
    <row r="2139" spans="1:23" s="247" customFormat="1" x14ac:dyDescent="0.25">
      <c r="A2139" s="232"/>
      <c r="B2139" s="283"/>
      <c r="C2139" s="284"/>
      <c r="D2139" s="283"/>
      <c r="E2139" s="284"/>
      <c r="F2139" s="284"/>
      <c r="G2139" s="285"/>
      <c r="H2139" s="285"/>
      <c r="I2139" s="285"/>
      <c r="J2139" s="286"/>
      <c r="K2139" s="285"/>
      <c r="L2139" s="285"/>
      <c r="M2139" s="285"/>
      <c r="N2139" s="283"/>
      <c r="O2139" s="287"/>
      <c r="P2139" s="288"/>
      <c r="Q2139" s="289"/>
      <c r="R2139" s="290"/>
      <c r="S2139" s="291"/>
      <c r="T2139" s="291"/>
      <c r="U2139" s="292"/>
      <c r="V2139" s="259"/>
      <c r="W2139" s="259"/>
    </row>
    <row r="2140" spans="1:23" s="247" customFormat="1" x14ac:dyDescent="0.25">
      <c r="A2140" s="232"/>
      <c r="B2140" s="283"/>
      <c r="C2140" s="284"/>
      <c r="D2140" s="283"/>
      <c r="E2140" s="284"/>
      <c r="F2140" s="284"/>
      <c r="G2140" s="285"/>
      <c r="H2140" s="285"/>
      <c r="I2140" s="285"/>
      <c r="J2140" s="286"/>
      <c r="K2140" s="285"/>
      <c r="L2140" s="285"/>
      <c r="M2140" s="285"/>
      <c r="N2140" s="283"/>
      <c r="O2140" s="287"/>
      <c r="P2140" s="288"/>
      <c r="Q2140" s="289"/>
      <c r="R2140" s="290"/>
      <c r="S2140" s="291"/>
      <c r="T2140" s="291"/>
      <c r="U2140" s="292"/>
      <c r="V2140" s="259"/>
      <c r="W2140" s="259"/>
    </row>
    <row r="2141" spans="1:23" s="247" customFormat="1" x14ac:dyDescent="0.25">
      <c r="A2141" s="232"/>
      <c r="B2141" s="283"/>
      <c r="C2141" s="284"/>
      <c r="D2141" s="283"/>
      <c r="E2141" s="284"/>
      <c r="F2141" s="284"/>
      <c r="G2141" s="285"/>
      <c r="H2141" s="285"/>
      <c r="I2141" s="285"/>
      <c r="J2141" s="286"/>
      <c r="K2141" s="285"/>
      <c r="L2141" s="285"/>
      <c r="M2141" s="285"/>
      <c r="N2141" s="283"/>
      <c r="O2141" s="287"/>
      <c r="P2141" s="288"/>
      <c r="Q2141" s="289"/>
      <c r="R2141" s="290"/>
      <c r="S2141" s="291"/>
      <c r="T2141" s="291"/>
      <c r="U2141" s="292"/>
      <c r="V2141" s="259"/>
      <c r="W2141" s="259"/>
    </row>
    <row r="2142" spans="1:23" s="247" customFormat="1" x14ac:dyDescent="0.25">
      <c r="A2142" s="232"/>
      <c r="B2142" s="283"/>
      <c r="C2142" s="284"/>
      <c r="D2142" s="283"/>
      <c r="E2142" s="284"/>
      <c r="F2142" s="284"/>
      <c r="G2142" s="285"/>
      <c r="H2142" s="285"/>
      <c r="I2142" s="285"/>
      <c r="J2142" s="286"/>
      <c r="K2142" s="285"/>
      <c r="L2142" s="285"/>
      <c r="M2142" s="285"/>
      <c r="N2142" s="283"/>
      <c r="O2142" s="287"/>
      <c r="P2142" s="288"/>
      <c r="Q2142" s="289"/>
      <c r="R2142" s="290"/>
      <c r="S2142" s="291"/>
      <c r="T2142" s="291"/>
      <c r="U2142" s="292"/>
      <c r="V2142" s="259"/>
      <c r="W2142" s="259"/>
    </row>
    <row r="2143" spans="1:23" s="247" customFormat="1" x14ac:dyDescent="0.25">
      <c r="A2143" s="232"/>
      <c r="B2143" s="283"/>
      <c r="C2143" s="284"/>
      <c r="D2143" s="283"/>
      <c r="E2143" s="284"/>
      <c r="F2143" s="284"/>
      <c r="G2143" s="285"/>
      <c r="H2143" s="285"/>
      <c r="I2143" s="285"/>
      <c r="J2143" s="286"/>
      <c r="K2143" s="285"/>
      <c r="L2143" s="285"/>
      <c r="M2143" s="285"/>
      <c r="N2143" s="283"/>
      <c r="O2143" s="287"/>
      <c r="P2143" s="288"/>
      <c r="Q2143" s="289"/>
      <c r="R2143" s="290"/>
      <c r="S2143" s="291"/>
      <c r="T2143" s="291"/>
      <c r="U2143" s="292"/>
      <c r="V2143" s="259"/>
      <c r="W2143" s="259"/>
    </row>
    <row r="2144" spans="1:23" s="247" customFormat="1" x14ac:dyDescent="0.25">
      <c r="A2144" s="232"/>
      <c r="B2144" s="283"/>
      <c r="C2144" s="284"/>
      <c r="D2144" s="283"/>
      <c r="E2144" s="284"/>
      <c r="F2144" s="284"/>
      <c r="G2144" s="285"/>
      <c r="H2144" s="285"/>
      <c r="I2144" s="285"/>
      <c r="J2144" s="286"/>
      <c r="K2144" s="285"/>
      <c r="L2144" s="285"/>
      <c r="M2144" s="285"/>
      <c r="N2144" s="283"/>
      <c r="O2144" s="287"/>
      <c r="P2144" s="288"/>
      <c r="Q2144" s="289"/>
      <c r="R2144" s="290"/>
      <c r="S2144" s="291"/>
      <c r="T2144" s="291"/>
      <c r="U2144" s="292"/>
      <c r="V2144" s="259"/>
      <c r="W2144" s="259"/>
    </row>
    <row r="2145" spans="1:23" s="247" customFormat="1" x14ac:dyDescent="0.25">
      <c r="A2145" s="232"/>
      <c r="B2145" s="283"/>
      <c r="C2145" s="284"/>
      <c r="D2145" s="283"/>
      <c r="E2145" s="284"/>
      <c r="F2145" s="284"/>
      <c r="G2145" s="269"/>
      <c r="H2145" s="269"/>
      <c r="I2145" s="269"/>
      <c r="J2145" s="270"/>
      <c r="K2145" s="269"/>
      <c r="L2145" s="269"/>
      <c r="M2145" s="269"/>
      <c r="N2145" s="267"/>
      <c r="O2145" s="287"/>
      <c r="P2145" s="288"/>
      <c r="Q2145" s="289"/>
      <c r="R2145" s="290"/>
      <c r="S2145" s="291"/>
      <c r="T2145" s="291"/>
      <c r="U2145" s="292"/>
      <c r="V2145" s="259"/>
      <c r="W2145" s="259"/>
    </row>
    <row r="2146" spans="1:23" s="247" customFormat="1" x14ac:dyDescent="0.25">
      <c r="A2146" s="232"/>
      <c r="B2146" s="283"/>
      <c r="C2146" s="284"/>
      <c r="D2146" s="283"/>
      <c r="E2146" s="284"/>
      <c r="F2146" s="284"/>
      <c r="G2146" s="285"/>
      <c r="H2146" s="285"/>
      <c r="I2146" s="285"/>
      <c r="J2146" s="286"/>
      <c r="K2146" s="285"/>
      <c r="L2146" s="285"/>
      <c r="M2146" s="285"/>
      <c r="N2146" s="283"/>
      <c r="O2146" s="287"/>
      <c r="P2146" s="288"/>
      <c r="Q2146" s="289"/>
      <c r="R2146" s="290"/>
      <c r="S2146" s="291"/>
      <c r="T2146" s="291"/>
      <c r="U2146" s="292"/>
      <c r="V2146" s="259"/>
      <c r="W2146" s="259"/>
    </row>
    <row r="2147" spans="1:23" s="247" customFormat="1" x14ac:dyDescent="0.25">
      <c r="A2147" s="232"/>
      <c r="B2147" s="283"/>
      <c r="C2147" s="284"/>
      <c r="D2147" s="283"/>
      <c r="E2147" s="284"/>
      <c r="F2147" s="284"/>
      <c r="G2147" s="285"/>
      <c r="H2147" s="285"/>
      <c r="I2147" s="285"/>
      <c r="J2147" s="286"/>
      <c r="K2147" s="285"/>
      <c r="L2147" s="285"/>
      <c r="M2147" s="285"/>
      <c r="N2147" s="283"/>
      <c r="O2147" s="287"/>
      <c r="P2147" s="288"/>
      <c r="Q2147" s="289"/>
      <c r="R2147" s="290"/>
      <c r="S2147" s="291"/>
      <c r="T2147" s="291"/>
      <c r="U2147" s="292"/>
      <c r="V2147" s="259"/>
      <c r="W2147" s="259"/>
    </row>
    <row r="2148" spans="1:23" s="247" customFormat="1" x14ac:dyDescent="0.25">
      <c r="A2148" s="232"/>
      <c r="B2148" s="283"/>
      <c r="C2148" s="284"/>
      <c r="D2148" s="283"/>
      <c r="E2148" s="284"/>
      <c r="F2148" s="284"/>
      <c r="G2148" s="285"/>
      <c r="H2148" s="285"/>
      <c r="I2148" s="285"/>
      <c r="J2148" s="286"/>
      <c r="K2148" s="285"/>
      <c r="L2148" s="285"/>
      <c r="M2148" s="285"/>
      <c r="N2148" s="283"/>
      <c r="O2148" s="287"/>
      <c r="P2148" s="288"/>
      <c r="Q2148" s="289"/>
      <c r="R2148" s="290"/>
      <c r="S2148" s="291"/>
      <c r="T2148" s="291"/>
      <c r="U2148" s="292"/>
      <c r="V2148" s="259"/>
      <c r="W2148" s="259"/>
    </row>
    <row r="2149" spans="1:23" s="247" customFormat="1" x14ac:dyDescent="0.25">
      <c r="A2149" s="232"/>
      <c r="B2149" s="283"/>
      <c r="C2149" s="284"/>
      <c r="D2149" s="283"/>
      <c r="E2149" s="284"/>
      <c r="F2149" s="284"/>
      <c r="G2149" s="285"/>
      <c r="H2149" s="285"/>
      <c r="I2149" s="285"/>
      <c r="J2149" s="286"/>
      <c r="K2149" s="285"/>
      <c r="L2149" s="285"/>
      <c r="M2149" s="285"/>
      <c r="N2149" s="283"/>
      <c r="O2149" s="287"/>
      <c r="P2149" s="288"/>
      <c r="Q2149" s="289"/>
      <c r="R2149" s="290"/>
      <c r="S2149" s="291"/>
      <c r="T2149" s="291"/>
      <c r="U2149" s="292"/>
      <c r="V2149" s="259"/>
      <c r="W2149" s="259"/>
    </row>
    <row r="2150" spans="1:23" s="247" customFormat="1" x14ac:dyDescent="0.25">
      <c r="A2150" s="232"/>
      <c r="B2150" s="283"/>
      <c r="C2150" s="284"/>
      <c r="D2150" s="283"/>
      <c r="E2150" s="284"/>
      <c r="F2150" s="284"/>
      <c r="G2150" s="285"/>
      <c r="H2150" s="285"/>
      <c r="I2150" s="285"/>
      <c r="J2150" s="286"/>
      <c r="K2150" s="285"/>
      <c r="L2150" s="285"/>
      <c r="M2150" s="285"/>
      <c r="N2150" s="283"/>
      <c r="O2150" s="287"/>
      <c r="P2150" s="288"/>
      <c r="Q2150" s="289"/>
      <c r="R2150" s="290"/>
      <c r="S2150" s="291"/>
      <c r="T2150" s="291"/>
      <c r="U2150" s="292"/>
      <c r="V2150" s="259"/>
      <c r="W2150" s="259"/>
    </row>
    <row r="2151" spans="1:23" s="247" customFormat="1" x14ac:dyDescent="0.25">
      <c r="A2151" s="232"/>
      <c r="B2151" s="283"/>
      <c r="C2151" s="284"/>
      <c r="D2151" s="283"/>
      <c r="E2151" s="284"/>
      <c r="F2151" s="284"/>
      <c r="G2151" s="285"/>
      <c r="H2151" s="285"/>
      <c r="I2151" s="285"/>
      <c r="J2151" s="286"/>
      <c r="K2151" s="285"/>
      <c r="L2151" s="285"/>
      <c r="M2151" s="285"/>
      <c r="N2151" s="283"/>
      <c r="O2151" s="287"/>
      <c r="P2151" s="288"/>
      <c r="Q2151" s="289"/>
      <c r="R2151" s="290"/>
      <c r="S2151" s="291"/>
      <c r="T2151" s="291"/>
      <c r="U2151" s="292"/>
      <c r="V2151" s="259"/>
      <c r="W2151" s="259"/>
    </row>
    <row r="2152" spans="1:23" s="247" customFormat="1" x14ac:dyDescent="0.25">
      <c r="A2152" s="232"/>
      <c r="B2152" s="283"/>
      <c r="C2152" s="284"/>
      <c r="D2152" s="283"/>
      <c r="E2152" s="284"/>
      <c r="F2152" s="284"/>
      <c r="G2152" s="285"/>
      <c r="H2152" s="285"/>
      <c r="I2152" s="285"/>
      <c r="J2152" s="286"/>
      <c r="K2152" s="285"/>
      <c r="L2152" s="285"/>
      <c r="M2152" s="285"/>
      <c r="N2152" s="283"/>
      <c r="O2152" s="287"/>
      <c r="P2152" s="288"/>
      <c r="Q2152" s="289"/>
      <c r="R2152" s="290"/>
      <c r="S2152" s="291"/>
      <c r="T2152" s="291"/>
      <c r="U2152" s="292"/>
      <c r="V2152" s="259"/>
      <c r="W2152" s="259"/>
    </row>
    <row r="2153" spans="1:23" s="247" customFormat="1" x14ac:dyDescent="0.25">
      <c r="A2153" s="232"/>
      <c r="B2153" s="283"/>
      <c r="C2153" s="284"/>
      <c r="D2153" s="283"/>
      <c r="E2153" s="284"/>
      <c r="F2153" s="284"/>
      <c r="G2153" s="285"/>
      <c r="H2153" s="285"/>
      <c r="I2153" s="285"/>
      <c r="J2153" s="286"/>
      <c r="K2153" s="285"/>
      <c r="L2153" s="285"/>
      <c r="M2153" s="285"/>
      <c r="N2153" s="283"/>
      <c r="O2153" s="287"/>
      <c r="P2153" s="288"/>
      <c r="Q2153" s="289"/>
      <c r="R2153" s="290"/>
      <c r="S2153" s="291"/>
      <c r="T2153" s="291"/>
      <c r="U2153" s="292"/>
      <c r="V2153" s="259"/>
      <c r="W2153" s="259"/>
    </row>
    <row r="2154" spans="1:23" s="247" customFormat="1" x14ac:dyDescent="0.25">
      <c r="A2154" s="232"/>
      <c r="B2154" s="283"/>
      <c r="C2154" s="284"/>
      <c r="D2154" s="283"/>
      <c r="E2154" s="284"/>
      <c r="F2154" s="284"/>
      <c r="G2154" s="285"/>
      <c r="H2154" s="285"/>
      <c r="I2154" s="285"/>
      <c r="J2154" s="286"/>
      <c r="K2154" s="285"/>
      <c r="L2154" s="285"/>
      <c r="M2154" s="285"/>
      <c r="N2154" s="283"/>
      <c r="O2154" s="287"/>
      <c r="P2154" s="288"/>
      <c r="Q2154" s="289"/>
      <c r="R2154" s="290"/>
      <c r="S2154" s="291"/>
      <c r="T2154" s="291"/>
      <c r="U2154" s="292"/>
      <c r="V2154" s="259"/>
      <c r="W2154" s="259"/>
    </row>
    <row r="2155" spans="1:23" s="247" customFormat="1" x14ac:dyDescent="0.25">
      <c r="A2155" s="232"/>
      <c r="B2155" s="283"/>
      <c r="C2155" s="284"/>
      <c r="D2155" s="283"/>
      <c r="E2155" s="284"/>
      <c r="F2155" s="284"/>
      <c r="G2155" s="285"/>
      <c r="H2155" s="285"/>
      <c r="I2155" s="285"/>
      <c r="J2155" s="286"/>
      <c r="K2155" s="285"/>
      <c r="L2155" s="285"/>
      <c r="M2155" s="285"/>
      <c r="N2155" s="283"/>
      <c r="O2155" s="287"/>
      <c r="P2155" s="288"/>
      <c r="Q2155" s="289"/>
      <c r="R2155" s="290"/>
      <c r="S2155" s="291"/>
      <c r="T2155" s="291"/>
      <c r="U2155" s="292"/>
      <c r="V2155" s="259"/>
      <c r="W2155" s="259"/>
    </row>
    <row r="2156" spans="1:23" s="247" customFormat="1" x14ac:dyDescent="0.25">
      <c r="A2156" s="232"/>
      <c r="B2156" s="283"/>
      <c r="C2156" s="284"/>
      <c r="D2156" s="283"/>
      <c r="E2156" s="284"/>
      <c r="F2156" s="284"/>
      <c r="G2156" s="285"/>
      <c r="H2156" s="285"/>
      <c r="I2156" s="285"/>
      <c r="J2156" s="286"/>
      <c r="K2156" s="285"/>
      <c r="L2156" s="285"/>
      <c r="M2156" s="285"/>
      <c r="N2156" s="283"/>
      <c r="O2156" s="287"/>
      <c r="P2156" s="288"/>
      <c r="Q2156" s="289"/>
      <c r="R2156" s="290"/>
      <c r="S2156" s="291"/>
      <c r="T2156" s="291"/>
      <c r="U2156" s="292"/>
      <c r="V2156" s="259"/>
      <c r="W2156" s="259"/>
    </row>
    <row r="2157" spans="1:23" s="247" customFormat="1" x14ac:dyDescent="0.25">
      <c r="A2157" s="232"/>
      <c r="B2157" s="283"/>
      <c r="C2157" s="284"/>
      <c r="D2157" s="283"/>
      <c r="E2157" s="284"/>
      <c r="F2157" s="284"/>
      <c r="G2157" s="285"/>
      <c r="H2157" s="285"/>
      <c r="I2157" s="285"/>
      <c r="J2157" s="286"/>
      <c r="K2157" s="285"/>
      <c r="L2157" s="285"/>
      <c r="M2157" s="285"/>
      <c r="N2157" s="283"/>
      <c r="O2157" s="287"/>
      <c r="P2157" s="288"/>
      <c r="Q2157" s="289"/>
      <c r="R2157" s="290"/>
      <c r="S2157" s="291"/>
      <c r="T2157" s="291"/>
      <c r="U2157" s="292"/>
      <c r="V2157" s="259"/>
      <c r="W2157" s="259"/>
    </row>
    <row r="2158" spans="1:23" s="247" customFormat="1" x14ac:dyDescent="0.25">
      <c r="A2158" s="232"/>
      <c r="B2158" s="283"/>
      <c r="C2158" s="284"/>
      <c r="D2158" s="283"/>
      <c r="E2158" s="284"/>
      <c r="F2158" s="284"/>
      <c r="G2158" s="285"/>
      <c r="H2158" s="285"/>
      <c r="I2158" s="285"/>
      <c r="J2158" s="286"/>
      <c r="K2158" s="285"/>
      <c r="L2158" s="285"/>
      <c r="M2158" s="285"/>
      <c r="N2158" s="283"/>
      <c r="O2158" s="287"/>
      <c r="P2158" s="288"/>
      <c r="Q2158" s="289"/>
      <c r="R2158" s="290"/>
      <c r="S2158" s="291"/>
      <c r="T2158" s="291"/>
      <c r="U2158" s="292"/>
      <c r="V2158" s="259"/>
      <c r="W2158" s="259"/>
    </row>
    <row r="2159" spans="1:23" s="247" customFormat="1" x14ac:dyDescent="0.25">
      <c r="A2159" s="232"/>
      <c r="B2159" s="283"/>
      <c r="C2159" s="284"/>
      <c r="D2159" s="283"/>
      <c r="E2159" s="284"/>
      <c r="F2159" s="284"/>
      <c r="G2159" s="285"/>
      <c r="H2159" s="285"/>
      <c r="I2159" s="285"/>
      <c r="J2159" s="286"/>
      <c r="K2159" s="285"/>
      <c r="L2159" s="285"/>
      <c r="M2159" s="285"/>
      <c r="N2159" s="283"/>
      <c r="O2159" s="287"/>
      <c r="P2159" s="288"/>
      <c r="Q2159" s="289"/>
      <c r="R2159" s="290"/>
      <c r="S2159" s="291"/>
      <c r="T2159" s="291"/>
      <c r="U2159" s="292"/>
      <c r="V2159" s="259"/>
      <c r="W2159" s="259"/>
    </row>
    <row r="2160" spans="1:23" s="247" customFormat="1" x14ac:dyDescent="0.25">
      <c r="A2160" s="232"/>
      <c r="B2160" s="283"/>
      <c r="C2160" s="284"/>
      <c r="D2160" s="283"/>
      <c r="E2160" s="284"/>
      <c r="F2160" s="284"/>
      <c r="G2160" s="285"/>
      <c r="H2160" s="285"/>
      <c r="I2160" s="285"/>
      <c r="J2160" s="286"/>
      <c r="K2160" s="285"/>
      <c r="L2160" s="285"/>
      <c r="M2160" s="285"/>
      <c r="N2160" s="283"/>
      <c r="O2160" s="287"/>
      <c r="P2160" s="288"/>
      <c r="Q2160" s="289"/>
      <c r="R2160" s="290"/>
      <c r="S2160" s="291"/>
      <c r="T2160" s="291"/>
      <c r="U2160" s="292"/>
      <c r="V2160" s="259"/>
      <c r="W2160" s="259"/>
    </row>
    <row r="2161" spans="1:23" s="247" customFormat="1" x14ac:dyDescent="0.25">
      <c r="A2161" s="232"/>
      <c r="B2161" s="283"/>
      <c r="C2161" s="284"/>
      <c r="D2161" s="283"/>
      <c r="E2161" s="284"/>
      <c r="F2161" s="284"/>
      <c r="G2161" s="285"/>
      <c r="H2161" s="285"/>
      <c r="I2161" s="285"/>
      <c r="J2161" s="286"/>
      <c r="K2161" s="285"/>
      <c r="L2161" s="285"/>
      <c r="M2161" s="285"/>
      <c r="N2161" s="283"/>
      <c r="O2161" s="287"/>
      <c r="P2161" s="288"/>
      <c r="Q2161" s="289"/>
      <c r="R2161" s="290"/>
      <c r="S2161" s="291"/>
      <c r="T2161" s="291"/>
      <c r="U2161" s="292"/>
      <c r="V2161" s="259"/>
      <c r="W2161" s="259"/>
    </row>
    <row r="2162" spans="1:23" s="247" customFormat="1" x14ac:dyDescent="0.25">
      <c r="A2162" s="232"/>
      <c r="B2162" s="283"/>
      <c r="C2162" s="284"/>
      <c r="D2162" s="283"/>
      <c r="E2162" s="284"/>
      <c r="F2162" s="284"/>
      <c r="G2162" s="285"/>
      <c r="H2162" s="285"/>
      <c r="I2162" s="285"/>
      <c r="J2162" s="286"/>
      <c r="K2162" s="285"/>
      <c r="L2162" s="285"/>
      <c r="M2162" s="285"/>
      <c r="N2162" s="283"/>
      <c r="O2162" s="287"/>
      <c r="P2162" s="288"/>
      <c r="Q2162" s="289"/>
      <c r="R2162" s="290"/>
      <c r="S2162" s="291"/>
      <c r="T2162" s="291"/>
      <c r="U2162" s="292"/>
      <c r="V2162" s="259"/>
      <c r="W2162" s="259"/>
    </row>
    <row r="2163" spans="1:23" s="247" customFormat="1" x14ac:dyDescent="0.25">
      <c r="A2163" s="232"/>
      <c r="B2163" s="283"/>
      <c r="C2163" s="284"/>
      <c r="D2163" s="283"/>
      <c r="E2163" s="284"/>
      <c r="F2163" s="284"/>
      <c r="G2163" s="285"/>
      <c r="H2163" s="285"/>
      <c r="I2163" s="285"/>
      <c r="J2163" s="286"/>
      <c r="K2163" s="285"/>
      <c r="L2163" s="285"/>
      <c r="M2163" s="285"/>
      <c r="N2163" s="283"/>
      <c r="O2163" s="287"/>
      <c r="P2163" s="288"/>
      <c r="Q2163" s="289"/>
      <c r="R2163" s="290"/>
      <c r="S2163" s="291"/>
      <c r="T2163" s="291"/>
      <c r="U2163" s="292"/>
      <c r="V2163" s="259"/>
      <c r="W2163" s="259"/>
    </row>
    <row r="2164" spans="1:23" s="247" customFormat="1" x14ac:dyDescent="0.25">
      <c r="A2164" s="232"/>
      <c r="B2164" s="283"/>
      <c r="C2164" s="284"/>
      <c r="D2164" s="283"/>
      <c r="E2164" s="284"/>
      <c r="F2164" s="284"/>
      <c r="G2164" s="285"/>
      <c r="H2164" s="285"/>
      <c r="I2164" s="285"/>
      <c r="J2164" s="286"/>
      <c r="K2164" s="285"/>
      <c r="L2164" s="285"/>
      <c r="M2164" s="285"/>
      <c r="N2164" s="283"/>
      <c r="O2164" s="287"/>
      <c r="P2164" s="288"/>
      <c r="Q2164" s="289"/>
      <c r="R2164" s="290"/>
      <c r="S2164" s="291"/>
      <c r="T2164" s="291"/>
      <c r="U2164" s="292"/>
      <c r="V2164" s="259"/>
      <c r="W2164" s="259"/>
    </row>
    <row r="2165" spans="1:23" s="247" customFormat="1" x14ac:dyDescent="0.25">
      <c r="A2165" s="232"/>
      <c r="B2165" s="283"/>
      <c r="C2165" s="284"/>
      <c r="D2165" s="283"/>
      <c r="E2165" s="284"/>
      <c r="F2165" s="284"/>
      <c r="G2165" s="285"/>
      <c r="H2165" s="285"/>
      <c r="I2165" s="285"/>
      <c r="J2165" s="286"/>
      <c r="K2165" s="285"/>
      <c r="L2165" s="285"/>
      <c r="M2165" s="285"/>
      <c r="N2165" s="283"/>
      <c r="O2165" s="287"/>
      <c r="P2165" s="288"/>
      <c r="Q2165" s="289"/>
      <c r="R2165" s="290"/>
      <c r="S2165" s="291"/>
      <c r="T2165" s="291"/>
      <c r="U2165" s="292"/>
      <c r="V2165" s="259"/>
      <c r="W2165" s="259"/>
    </row>
    <row r="2166" spans="1:23" s="247" customFormat="1" x14ac:dyDescent="0.25">
      <c r="A2166" s="232"/>
      <c r="B2166" s="283"/>
      <c r="C2166" s="284"/>
      <c r="D2166" s="283"/>
      <c r="E2166" s="284"/>
      <c r="F2166" s="284"/>
      <c r="G2166" s="285"/>
      <c r="H2166" s="285"/>
      <c r="I2166" s="285"/>
      <c r="J2166" s="286"/>
      <c r="K2166" s="285"/>
      <c r="L2166" s="285"/>
      <c r="M2166" s="285"/>
      <c r="N2166" s="283"/>
      <c r="O2166" s="287"/>
      <c r="P2166" s="288"/>
      <c r="Q2166" s="289"/>
      <c r="R2166" s="290"/>
      <c r="S2166" s="291"/>
      <c r="T2166" s="291"/>
      <c r="U2166" s="292"/>
      <c r="V2166" s="259"/>
      <c r="W2166" s="259"/>
    </row>
    <row r="2167" spans="1:23" s="247" customFormat="1" x14ac:dyDescent="0.25">
      <c r="A2167" s="232"/>
      <c r="B2167" s="283"/>
      <c r="C2167" s="284"/>
      <c r="D2167" s="283"/>
      <c r="E2167" s="284"/>
      <c r="F2167" s="284"/>
      <c r="G2167" s="285"/>
      <c r="H2167" s="285"/>
      <c r="I2167" s="285"/>
      <c r="J2167" s="286"/>
      <c r="K2167" s="285"/>
      <c r="L2167" s="285"/>
      <c r="M2167" s="285"/>
      <c r="N2167" s="283"/>
      <c r="O2167" s="287"/>
      <c r="P2167" s="288"/>
      <c r="Q2167" s="289"/>
      <c r="R2167" s="290"/>
      <c r="S2167" s="291"/>
      <c r="T2167" s="291"/>
      <c r="U2167" s="292"/>
      <c r="V2167" s="259"/>
      <c r="W2167" s="259"/>
    </row>
    <row r="2168" spans="1:23" s="247" customFormat="1" x14ac:dyDescent="0.25">
      <c r="A2168" s="232"/>
      <c r="B2168" s="283"/>
      <c r="C2168" s="284"/>
      <c r="D2168" s="283"/>
      <c r="E2168" s="284"/>
      <c r="F2168" s="284"/>
      <c r="G2168" s="285"/>
      <c r="H2168" s="285"/>
      <c r="I2168" s="285"/>
      <c r="J2168" s="286"/>
      <c r="K2168" s="285"/>
      <c r="L2168" s="285"/>
      <c r="M2168" s="285"/>
      <c r="N2168" s="283"/>
      <c r="O2168" s="287"/>
      <c r="P2168" s="288"/>
      <c r="Q2168" s="289"/>
      <c r="R2168" s="290"/>
      <c r="S2168" s="291"/>
      <c r="T2168" s="291"/>
      <c r="U2168" s="292"/>
      <c r="V2168" s="259"/>
      <c r="W2168" s="259"/>
    </row>
    <row r="2169" spans="1:23" s="247" customFormat="1" x14ac:dyDescent="0.25">
      <c r="A2169" s="232"/>
      <c r="B2169" s="283"/>
      <c r="C2169" s="284"/>
      <c r="D2169" s="283"/>
      <c r="E2169" s="284"/>
      <c r="F2169" s="284"/>
      <c r="G2169" s="285"/>
      <c r="H2169" s="285"/>
      <c r="I2169" s="285"/>
      <c r="J2169" s="286"/>
      <c r="K2169" s="285"/>
      <c r="L2169" s="285"/>
      <c r="M2169" s="285"/>
      <c r="N2169" s="283"/>
      <c r="O2169" s="287"/>
      <c r="P2169" s="288"/>
      <c r="Q2169" s="289"/>
      <c r="R2169" s="290"/>
      <c r="S2169" s="291"/>
      <c r="T2169" s="291"/>
      <c r="U2169" s="292"/>
      <c r="V2169" s="259"/>
      <c r="W2169" s="259"/>
    </row>
    <row r="2170" spans="1:23" s="247" customFormat="1" x14ac:dyDescent="0.25">
      <c r="A2170" s="232"/>
      <c r="B2170" s="283"/>
      <c r="C2170" s="284"/>
      <c r="D2170" s="283"/>
      <c r="E2170" s="284"/>
      <c r="F2170" s="284"/>
      <c r="G2170" s="285"/>
      <c r="H2170" s="285"/>
      <c r="I2170" s="285"/>
      <c r="J2170" s="286"/>
      <c r="K2170" s="285"/>
      <c r="L2170" s="285"/>
      <c r="M2170" s="285"/>
      <c r="N2170" s="283"/>
      <c r="O2170" s="287"/>
      <c r="P2170" s="288"/>
      <c r="Q2170" s="289"/>
      <c r="R2170" s="290"/>
      <c r="S2170" s="291"/>
      <c r="T2170" s="291"/>
      <c r="U2170" s="292"/>
      <c r="V2170" s="259"/>
      <c r="W2170" s="259"/>
    </row>
    <row r="2171" spans="1:23" s="247" customFormat="1" x14ac:dyDescent="0.25">
      <c r="A2171" s="232"/>
      <c r="B2171" s="283"/>
      <c r="C2171" s="284"/>
      <c r="D2171" s="283"/>
      <c r="E2171" s="284"/>
      <c r="F2171" s="284"/>
      <c r="G2171" s="285"/>
      <c r="H2171" s="285"/>
      <c r="I2171" s="285"/>
      <c r="J2171" s="286"/>
      <c r="K2171" s="285"/>
      <c r="L2171" s="285"/>
      <c r="M2171" s="285"/>
      <c r="N2171" s="283"/>
      <c r="O2171" s="287"/>
      <c r="P2171" s="288"/>
      <c r="Q2171" s="289"/>
      <c r="R2171" s="290"/>
      <c r="S2171" s="291"/>
      <c r="T2171" s="291"/>
      <c r="U2171" s="292"/>
      <c r="V2171" s="259"/>
      <c r="W2171" s="259"/>
    </row>
    <row r="2172" spans="1:23" s="247" customFormat="1" x14ac:dyDescent="0.25">
      <c r="A2172" s="232"/>
      <c r="B2172" s="283"/>
      <c r="C2172" s="284"/>
      <c r="D2172" s="283"/>
      <c r="E2172" s="284"/>
      <c r="F2172" s="284"/>
      <c r="G2172" s="285"/>
      <c r="H2172" s="285"/>
      <c r="I2172" s="285"/>
      <c r="J2172" s="286"/>
      <c r="K2172" s="285"/>
      <c r="L2172" s="285"/>
      <c r="M2172" s="285"/>
      <c r="N2172" s="283"/>
      <c r="O2172" s="287"/>
      <c r="P2172" s="288"/>
      <c r="Q2172" s="289"/>
      <c r="R2172" s="290"/>
      <c r="S2172" s="291"/>
      <c r="T2172" s="291"/>
      <c r="U2172" s="292"/>
      <c r="V2172" s="259"/>
      <c r="W2172" s="259"/>
    </row>
    <row r="2173" spans="1:23" s="247" customFormat="1" x14ac:dyDescent="0.25">
      <c r="A2173" s="232"/>
      <c r="B2173" s="283"/>
      <c r="C2173" s="284"/>
      <c r="D2173" s="283"/>
      <c r="E2173" s="284"/>
      <c r="F2173" s="284"/>
      <c r="G2173" s="285"/>
      <c r="H2173" s="285"/>
      <c r="I2173" s="285"/>
      <c r="J2173" s="286"/>
      <c r="K2173" s="285"/>
      <c r="L2173" s="285"/>
      <c r="M2173" s="285"/>
      <c r="N2173" s="283"/>
      <c r="O2173" s="287"/>
      <c r="P2173" s="288"/>
      <c r="Q2173" s="289"/>
      <c r="R2173" s="290"/>
      <c r="S2173" s="291"/>
      <c r="T2173" s="291"/>
      <c r="U2173" s="292"/>
      <c r="V2173" s="259"/>
      <c r="W2173" s="259"/>
    </row>
    <row r="2174" spans="1:23" s="247" customFormat="1" x14ac:dyDescent="0.25">
      <c r="A2174" s="232"/>
      <c r="B2174" s="283"/>
      <c r="C2174" s="284"/>
      <c r="D2174" s="283"/>
      <c r="E2174" s="284"/>
      <c r="F2174" s="284"/>
      <c r="G2174" s="285"/>
      <c r="H2174" s="285"/>
      <c r="I2174" s="285"/>
      <c r="J2174" s="286"/>
      <c r="K2174" s="285"/>
      <c r="L2174" s="285"/>
      <c r="M2174" s="285"/>
      <c r="N2174" s="283"/>
      <c r="O2174" s="287"/>
      <c r="P2174" s="288"/>
      <c r="Q2174" s="289"/>
      <c r="R2174" s="290"/>
      <c r="S2174" s="291"/>
      <c r="T2174" s="291"/>
      <c r="U2174" s="292"/>
      <c r="V2174" s="259"/>
      <c r="W2174" s="259"/>
    </row>
    <row r="2175" spans="1:23" s="247" customFormat="1" x14ac:dyDescent="0.25">
      <c r="A2175" s="232"/>
      <c r="B2175" s="283"/>
      <c r="C2175" s="284"/>
      <c r="D2175" s="283"/>
      <c r="E2175" s="284"/>
      <c r="F2175" s="284"/>
      <c r="G2175" s="285"/>
      <c r="H2175" s="285"/>
      <c r="I2175" s="285"/>
      <c r="J2175" s="286"/>
      <c r="K2175" s="285"/>
      <c r="L2175" s="285"/>
      <c r="M2175" s="285"/>
      <c r="N2175" s="283"/>
      <c r="O2175" s="287"/>
      <c r="P2175" s="288"/>
      <c r="Q2175" s="289"/>
      <c r="R2175" s="290"/>
      <c r="S2175" s="291"/>
      <c r="T2175" s="291"/>
      <c r="U2175" s="292"/>
      <c r="V2175" s="259"/>
      <c r="W2175" s="259"/>
    </row>
    <row r="2176" spans="1:23" s="247" customFormat="1" x14ac:dyDescent="0.25">
      <c r="A2176" s="232"/>
      <c r="B2176" s="283"/>
      <c r="C2176" s="284"/>
      <c r="D2176" s="283"/>
      <c r="E2176" s="284"/>
      <c r="F2176" s="284"/>
      <c r="G2176" s="285"/>
      <c r="H2176" s="285"/>
      <c r="I2176" s="285"/>
      <c r="J2176" s="286"/>
      <c r="K2176" s="285"/>
      <c r="L2176" s="285"/>
      <c r="M2176" s="285"/>
      <c r="N2176" s="283"/>
      <c r="O2176" s="287"/>
      <c r="P2176" s="288"/>
      <c r="Q2176" s="289"/>
      <c r="R2176" s="290"/>
      <c r="S2176" s="291"/>
      <c r="T2176" s="291"/>
      <c r="U2176" s="292"/>
      <c r="V2176" s="259"/>
      <c r="W2176" s="259"/>
    </row>
    <row r="2177" spans="1:23" s="247" customFormat="1" x14ac:dyDescent="0.25">
      <c r="A2177" s="232"/>
      <c r="B2177" s="283"/>
      <c r="C2177" s="284"/>
      <c r="D2177" s="283"/>
      <c r="E2177" s="284"/>
      <c r="F2177" s="284"/>
      <c r="G2177" s="285"/>
      <c r="H2177" s="285"/>
      <c r="I2177" s="285"/>
      <c r="J2177" s="286"/>
      <c r="K2177" s="285"/>
      <c r="L2177" s="285"/>
      <c r="M2177" s="285"/>
      <c r="N2177" s="283"/>
      <c r="O2177" s="287"/>
      <c r="P2177" s="288"/>
      <c r="Q2177" s="289"/>
      <c r="R2177" s="290"/>
      <c r="S2177" s="291"/>
      <c r="T2177" s="291"/>
      <c r="U2177" s="292"/>
      <c r="V2177" s="259"/>
      <c r="W2177" s="259"/>
    </row>
    <row r="2178" spans="1:23" s="247" customFormat="1" x14ac:dyDescent="0.25">
      <c r="A2178" s="232"/>
      <c r="B2178" s="283"/>
      <c r="C2178" s="284"/>
      <c r="D2178" s="283"/>
      <c r="E2178" s="284"/>
      <c r="F2178" s="284"/>
      <c r="G2178" s="285"/>
      <c r="H2178" s="285"/>
      <c r="I2178" s="285"/>
      <c r="J2178" s="286"/>
      <c r="K2178" s="285"/>
      <c r="L2178" s="285"/>
      <c r="M2178" s="285"/>
      <c r="N2178" s="283"/>
      <c r="O2178" s="287"/>
      <c r="P2178" s="288"/>
      <c r="Q2178" s="289"/>
      <c r="R2178" s="290"/>
      <c r="S2178" s="291"/>
      <c r="T2178" s="291"/>
      <c r="U2178" s="292"/>
      <c r="V2178" s="259"/>
      <c r="W2178" s="259"/>
    </row>
    <row r="2179" spans="1:23" s="247" customFormat="1" x14ac:dyDescent="0.25">
      <c r="A2179" s="232"/>
      <c r="B2179" s="283"/>
      <c r="C2179" s="284"/>
      <c r="D2179" s="283"/>
      <c r="E2179" s="284"/>
      <c r="F2179" s="284"/>
      <c r="G2179" s="285"/>
      <c r="H2179" s="285"/>
      <c r="I2179" s="285"/>
      <c r="J2179" s="286"/>
      <c r="K2179" s="285"/>
      <c r="L2179" s="285"/>
      <c r="M2179" s="285"/>
      <c r="N2179" s="283"/>
      <c r="O2179" s="287"/>
      <c r="P2179" s="288"/>
      <c r="Q2179" s="289"/>
      <c r="R2179" s="290"/>
      <c r="S2179" s="291"/>
      <c r="T2179" s="291"/>
      <c r="U2179" s="292"/>
      <c r="V2179" s="259"/>
      <c r="W2179" s="259"/>
    </row>
    <row r="2180" spans="1:23" s="247" customFormat="1" x14ac:dyDescent="0.25">
      <c r="A2180" s="232"/>
      <c r="B2180" s="283"/>
      <c r="C2180" s="284"/>
      <c r="D2180" s="283"/>
      <c r="E2180" s="284"/>
      <c r="F2180" s="284"/>
      <c r="G2180" s="285"/>
      <c r="H2180" s="285"/>
      <c r="I2180" s="285"/>
      <c r="J2180" s="286"/>
      <c r="K2180" s="285"/>
      <c r="L2180" s="285"/>
      <c r="M2180" s="285"/>
      <c r="N2180" s="283"/>
      <c r="O2180" s="287"/>
      <c r="P2180" s="288"/>
      <c r="Q2180" s="289"/>
      <c r="R2180" s="290"/>
      <c r="S2180" s="291"/>
      <c r="T2180" s="291"/>
      <c r="U2180" s="292"/>
      <c r="V2180" s="259"/>
      <c r="W2180" s="259"/>
    </row>
    <row r="2181" spans="1:23" s="247" customFormat="1" x14ac:dyDescent="0.25">
      <c r="A2181" s="234"/>
      <c r="B2181" s="283"/>
      <c r="C2181" s="284"/>
      <c r="D2181" s="283"/>
      <c r="E2181" s="259"/>
      <c r="F2181" s="259"/>
      <c r="G2181" s="274"/>
      <c r="H2181" s="274"/>
      <c r="I2181" s="274"/>
      <c r="J2181" s="275"/>
      <c r="K2181" s="274"/>
      <c r="L2181" s="274"/>
      <c r="M2181" s="274"/>
      <c r="N2181" s="273"/>
      <c r="O2181" s="277"/>
      <c r="P2181" s="260"/>
      <c r="Q2181" s="261"/>
      <c r="R2181" s="262"/>
      <c r="S2181" s="263"/>
      <c r="T2181" s="263"/>
      <c r="U2181" s="264"/>
      <c r="V2181" s="259"/>
      <c r="W2181" s="259"/>
    </row>
    <row r="2182" spans="1:23" s="247" customFormat="1" x14ac:dyDescent="0.25">
      <c r="A2182" s="232"/>
      <c r="B2182" s="283"/>
      <c r="C2182" s="284"/>
      <c r="D2182" s="283"/>
      <c r="E2182" s="284"/>
      <c r="F2182" s="284"/>
      <c r="G2182" s="285"/>
      <c r="H2182" s="285"/>
      <c r="I2182" s="285"/>
      <c r="J2182" s="286"/>
      <c r="K2182" s="285"/>
      <c r="L2182" s="285"/>
      <c r="M2182" s="285"/>
      <c r="N2182" s="283"/>
      <c r="O2182" s="287"/>
      <c r="P2182" s="288"/>
      <c r="Q2182" s="289"/>
      <c r="R2182" s="290"/>
      <c r="S2182" s="291"/>
      <c r="T2182" s="291"/>
      <c r="U2182" s="292"/>
      <c r="V2182" s="259"/>
      <c r="W2182" s="259"/>
    </row>
    <row r="2183" spans="1:23" s="247" customFormat="1" x14ac:dyDescent="0.25">
      <c r="A2183" s="232"/>
      <c r="B2183" s="283"/>
      <c r="C2183" s="284"/>
      <c r="D2183" s="283"/>
      <c r="E2183" s="284"/>
      <c r="F2183" s="284"/>
      <c r="G2183" s="285"/>
      <c r="H2183" s="285"/>
      <c r="I2183" s="285"/>
      <c r="J2183" s="286"/>
      <c r="K2183" s="285"/>
      <c r="L2183" s="285"/>
      <c r="M2183" s="285"/>
      <c r="N2183" s="283"/>
      <c r="O2183" s="287"/>
      <c r="P2183" s="288"/>
      <c r="Q2183" s="289"/>
      <c r="R2183" s="290"/>
      <c r="S2183" s="291"/>
      <c r="T2183" s="291"/>
      <c r="U2183" s="292"/>
      <c r="V2183" s="259"/>
      <c r="W2183" s="259"/>
    </row>
    <row r="2184" spans="1:23" s="247" customFormat="1" x14ac:dyDescent="0.25">
      <c r="A2184" s="232"/>
      <c r="B2184" s="283"/>
      <c r="C2184" s="284"/>
      <c r="D2184" s="283"/>
      <c r="E2184" s="284"/>
      <c r="F2184" s="284"/>
      <c r="G2184" s="285"/>
      <c r="H2184" s="285"/>
      <c r="I2184" s="285"/>
      <c r="J2184" s="286"/>
      <c r="K2184" s="285"/>
      <c r="L2184" s="285"/>
      <c r="M2184" s="285"/>
      <c r="N2184" s="283"/>
      <c r="O2184" s="287"/>
      <c r="P2184" s="288"/>
      <c r="Q2184" s="289"/>
      <c r="R2184" s="290"/>
      <c r="S2184" s="291"/>
      <c r="T2184" s="291"/>
      <c r="U2184" s="292"/>
      <c r="V2184" s="259"/>
      <c r="W2184" s="259"/>
    </row>
    <row r="2185" spans="1:23" s="247" customFormat="1" x14ac:dyDescent="0.25">
      <c r="A2185" s="232"/>
      <c r="B2185" s="283"/>
      <c r="C2185" s="284"/>
      <c r="D2185" s="283"/>
      <c r="E2185" s="284"/>
      <c r="F2185" s="284"/>
      <c r="G2185" s="285"/>
      <c r="H2185" s="285"/>
      <c r="I2185" s="285"/>
      <c r="J2185" s="286"/>
      <c r="K2185" s="285"/>
      <c r="L2185" s="285"/>
      <c r="M2185" s="285"/>
      <c r="N2185" s="283"/>
      <c r="O2185" s="287"/>
      <c r="P2185" s="288"/>
      <c r="Q2185" s="289"/>
      <c r="R2185" s="290"/>
      <c r="S2185" s="291"/>
      <c r="T2185" s="291"/>
      <c r="U2185" s="292"/>
      <c r="V2185" s="259"/>
      <c r="W2185" s="259"/>
    </row>
    <row r="2186" spans="1:23" s="247" customFormat="1" x14ac:dyDescent="0.25">
      <c r="A2186" s="232"/>
      <c r="B2186" s="283"/>
      <c r="C2186" s="284"/>
      <c r="D2186" s="283"/>
      <c r="E2186" s="284"/>
      <c r="F2186" s="284"/>
      <c r="G2186" s="285"/>
      <c r="H2186" s="285"/>
      <c r="I2186" s="285"/>
      <c r="J2186" s="286"/>
      <c r="K2186" s="285"/>
      <c r="L2186" s="285"/>
      <c r="M2186" s="285"/>
      <c r="N2186" s="283"/>
      <c r="O2186" s="287"/>
      <c r="P2186" s="288"/>
      <c r="Q2186" s="289"/>
      <c r="R2186" s="290"/>
      <c r="S2186" s="291"/>
      <c r="T2186" s="291"/>
      <c r="U2186" s="292"/>
      <c r="V2186" s="259"/>
      <c r="W2186" s="259"/>
    </row>
    <row r="2187" spans="1:23" s="247" customFormat="1" x14ac:dyDescent="0.25">
      <c r="A2187" s="232"/>
      <c r="B2187" s="283"/>
      <c r="C2187" s="284"/>
      <c r="D2187" s="283"/>
      <c r="E2187" s="284"/>
      <c r="F2187" s="284"/>
      <c r="G2187" s="285"/>
      <c r="H2187" s="285"/>
      <c r="I2187" s="285"/>
      <c r="J2187" s="286"/>
      <c r="K2187" s="285"/>
      <c r="L2187" s="285"/>
      <c r="M2187" s="285"/>
      <c r="N2187" s="283"/>
      <c r="O2187" s="287"/>
      <c r="P2187" s="288"/>
      <c r="Q2187" s="289"/>
      <c r="R2187" s="290"/>
      <c r="S2187" s="291"/>
      <c r="T2187" s="291"/>
      <c r="U2187" s="292"/>
      <c r="V2187" s="259"/>
      <c r="W2187" s="259"/>
    </row>
    <row r="2188" spans="1:23" s="247" customFormat="1" x14ac:dyDescent="0.25">
      <c r="A2188" s="232"/>
      <c r="B2188" s="283"/>
      <c r="C2188" s="284"/>
      <c r="D2188" s="283"/>
      <c r="E2188" s="284"/>
      <c r="F2188" s="284"/>
      <c r="G2188" s="285"/>
      <c r="H2188" s="285"/>
      <c r="I2188" s="285"/>
      <c r="J2188" s="286"/>
      <c r="K2188" s="285"/>
      <c r="L2188" s="285"/>
      <c r="M2188" s="285"/>
      <c r="N2188" s="283"/>
      <c r="O2188" s="287"/>
      <c r="P2188" s="288"/>
      <c r="Q2188" s="289"/>
      <c r="R2188" s="290"/>
      <c r="S2188" s="291"/>
      <c r="T2188" s="291"/>
      <c r="U2188" s="292"/>
      <c r="V2188" s="259"/>
      <c r="W2188" s="259"/>
    </row>
    <row r="2189" spans="1:23" s="247" customFormat="1" x14ac:dyDescent="0.25">
      <c r="A2189" s="232"/>
      <c r="B2189" s="283"/>
      <c r="C2189" s="284"/>
      <c r="D2189" s="283"/>
      <c r="E2189" s="284"/>
      <c r="F2189" s="284"/>
      <c r="G2189" s="285"/>
      <c r="H2189" s="285"/>
      <c r="I2189" s="285"/>
      <c r="J2189" s="286"/>
      <c r="K2189" s="285"/>
      <c r="L2189" s="285"/>
      <c r="M2189" s="285"/>
      <c r="N2189" s="283"/>
      <c r="O2189" s="287"/>
      <c r="P2189" s="288"/>
      <c r="Q2189" s="289"/>
      <c r="R2189" s="290"/>
      <c r="S2189" s="291"/>
      <c r="T2189" s="291"/>
      <c r="U2189" s="292"/>
      <c r="V2189" s="259"/>
      <c r="W2189" s="259"/>
    </row>
    <row r="2190" spans="1:23" s="247" customFormat="1" x14ac:dyDescent="0.25">
      <c r="A2190" s="232"/>
      <c r="B2190" s="283"/>
      <c r="C2190" s="284"/>
      <c r="D2190" s="283"/>
      <c r="E2190" s="284"/>
      <c r="F2190" s="284"/>
      <c r="G2190" s="285"/>
      <c r="H2190" s="285"/>
      <c r="I2190" s="285"/>
      <c r="J2190" s="286"/>
      <c r="K2190" s="285"/>
      <c r="L2190" s="285"/>
      <c r="M2190" s="285"/>
      <c r="N2190" s="283"/>
      <c r="O2190" s="287"/>
      <c r="P2190" s="288"/>
      <c r="Q2190" s="289"/>
      <c r="R2190" s="290"/>
      <c r="S2190" s="291"/>
      <c r="T2190" s="291"/>
      <c r="U2190" s="292"/>
      <c r="V2190" s="259"/>
      <c r="W2190" s="259"/>
    </row>
    <row r="2191" spans="1:23" s="247" customFormat="1" x14ac:dyDescent="0.25">
      <c r="A2191" s="232"/>
      <c r="B2191" s="283"/>
      <c r="C2191" s="284"/>
      <c r="D2191" s="283"/>
      <c r="E2191" s="284"/>
      <c r="F2191" s="284"/>
      <c r="G2191" s="285"/>
      <c r="H2191" s="285"/>
      <c r="I2191" s="285"/>
      <c r="J2191" s="286"/>
      <c r="K2191" s="285"/>
      <c r="L2191" s="285"/>
      <c r="M2191" s="285"/>
      <c r="N2191" s="283"/>
      <c r="O2191" s="287"/>
      <c r="P2191" s="288"/>
      <c r="Q2191" s="289"/>
      <c r="R2191" s="290"/>
      <c r="S2191" s="291"/>
      <c r="T2191" s="291"/>
      <c r="U2191" s="292"/>
      <c r="V2191" s="259"/>
      <c r="W2191" s="259"/>
    </row>
    <row r="2192" spans="1:23" s="247" customFormat="1" x14ac:dyDescent="0.25">
      <c r="A2192" s="235"/>
      <c r="B2192" s="301"/>
      <c r="C2192" s="302"/>
      <c r="D2192" s="301"/>
      <c r="E2192" s="302"/>
      <c r="F2192" s="302"/>
      <c r="G2192" s="303"/>
      <c r="H2192" s="303"/>
      <c r="I2192" s="303"/>
      <c r="J2192" s="304"/>
      <c r="K2192" s="303"/>
      <c r="L2192" s="303"/>
      <c r="M2192" s="303"/>
      <c r="N2192" s="301"/>
      <c r="O2192" s="305"/>
      <c r="P2192" s="306"/>
      <c r="Q2192" s="307"/>
      <c r="R2192" s="308"/>
      <c r="S2192" s="309"/>
      <c r="T2192" s="309"/>
      <c r="U2192" s="310"/>
      <c r="V2192" s="259"/>
      <c r="W2192" s="259"/>
    </row>
    <row r="2193" spans="1:23" s="247" customFormat="1" x14ac:dyDescent="0.25">
      <c r="A2193" s="236"/>
      <c r="B2193" s="273"/>
      <c r="C2193" s="259"/>
      <c r="D2193" s="273"/>
      <c r="E2193" s="259"/>
      <c r="F2193" s="259"/>
      <c r="G2193" s="274"/>
      <c r="H2193" s="274"/>
      <c r="I2193" s="274"/>
      <c r="J2193" s="275"/>
      <c r="K2193" s="274"/>
      <c r="L2193" s="274"/>
      <c r="M2193" s="274"/>
      <c r="N2193" s="273"/>
      <c r="O2193" s="277"/>
      <c r="P2193" s="260"/>
      <c r="Q2193" s="261"/>
      <c r="R2193" s="262"/>
      <c r="S2193" s="263"/>
      <c r="T2193" s="263"/>
      <c r="U2193" s="264"/>
      <c r="V2193" s="259"/>
      <c r="W2193" s="259"/>
    </row>
    <row r="2194" spans="1:23" s="247" customFormat="1" x14ac:dyDescent="0.25">
      <c r="A2194" s="234"/>
      <c r="B2194" s="273"/>
      <c r="C2194" s="259"/>
      <c r="D2194" s="273"/>
      <c r="E2194" s="259"/>
      <c r="F2194" s="259"/>
      <c r="G2194" s="274"/>
      <c r="H2194" s="274"/>
      <c r="I2194" s="274"/>
      <c r="J2194" s="275"/>
      <c r="K2194" s="274"/>
      <c r="L2194" s="274"/>
      <c r="M2194" s="274"/>
      <c r="N2194" s="273"/>
      <c r="O2194" s="277"/>
      <c r="P2194" s="260"/>
      <c r="Q2194" s="261"/>
      <c r="R2194" s="262"/>
      <c r="S2194" s="263"/>
      <c r="T2194" s="263"/>
      <c r="U2194" s="264"/>
      <c r="V2194" s="259"/>
      <c r="W2194" s="259"/>
    </row>
    <row r="2195" spans="1:23" s="247" customFormat="1" x14ac:dyDescent="0.25">
      <c r="A2195" s="234"/>
      <c r="B2195" s="267"/>
      <c r="C2195" s="268"/>
      <c r="D2195" s="267"/>
      <c r="E2195" s="268"/>
      <c r="F2195" s="268"/>
      <c r="G2195" s="269"/>
      <c r="H2195" s="269"/>
      <c r="I2195" s="269"/>
      <c r="J2195" s="270"/>
      <c r="K2195" s="269"/>
      <c r="L2195" s="269"/>
      <c r="M2195" s="269"/>
      <c r="N2195" s="267"/>
      <c r="O2195" s="272"/>
      <c r="P2195" s="260"/>
      <c r="Q2195" s="261"/>
      <c r="R2195" s="262"/>
      <c r="S2195" s="263"/>
      <c r="T2195" s="263"/>
      <c r="U2195" s="264"/>
      <c r="V2195" s="259"/>
      <c r="W2195" s="259"/>
    </row>
    <row r="2196" spans="1:23" s="247" customFormat="1" x14ac:dyDescent="0.25">
      <c r="A2196" s="234"/>
      <c r="B2196" s="267"/>
      <c r="C2196" s="268"/>
      <c r="D2196" s="267"/>
      <c r="E2196" s="268"/>
      <c r="F2196" s="268"/>
      <c r="G2196" s="269"/>
      <c r="H2196" s="269"/>
      <c r="I2196" s="269"/>
      <c r="J2196" s="270"/>
      <c r="K2196" s="269"/>
      <c r="L2196" s="269"/>
      <c r="M2196" s="269"/>
      <c r="N2196" s="267"/>
      <c r="O2196" s="272"/>
      <c r="P2196" s="260"/>
      <c r="Q2196" s="261"/>
      <c r="R2196" s="262"/>
      <c r="S2196" s="263"/>
      <c r="T2196" s="263"/>
      <c r="U2196" s="264"/>
      <c r="V2196" s="259"/>
      <c r="W2196" s="259"/>
    </row>
    <row r="2197" spans="1:23" s="247" customFormat="1" x14ac:dyDescent="0.25">
      <c r="A2197" s="234"/>
      <c r="B2197" s="267"/>
      <c r="C2197" s="268"/>
      <c r="D2197" s="267"/>
      <c r="E2197" s="268"/>
      <c r="F2197" s="268"/>
      <c r="G2197" s="269"/>
      <c r="H2197" s="269"/>
      <c r="I2197" s="269"/>
      <c r="J2197" s="270"/>
      <c r="K2197" s="269"/>
      <c r="L2197" s="269"/>
      <c r="M2197" s="269"/>
      <c r="N2197" s="267"/>
      <c r="O2197" s="272"/>
      <c r="P2197" s="260"/>
      <c r="Q2197" s="261"/>
      <c r="R2197" s="262"/>
      <c r="S2197" s="263"/>
      <c r="T2197" s="263"/>
      <c r="U2197" s="264"/>
      <c r="V2197" s="259"/>
      <c r="W2197" s="259"/>
    </row>
    <row r="2198" spans="1:23" s="247" customFormat="1" x14ac:dyDescent="0.25">
      <c r="A2198" s="234"/>
      <c r="B2198" s="267"/>
      <c r="C2198" s="268"/>
      <c r="D2198" s="267"/>
      <c r="E2198" s="268"/>
      <c r="F2198" s="268"/>
      <c r="G2198" s="269"/>
      <c r="H2198" s="269"/>
      <c r="I2198" s="269"/>
      <c r="J2198" s="270"/>
      <c r="K2198" s="269"/>
      <c r="L2198" s="269"/>
      <c r="M2198" s="269"/>
      <c r="N2198" s="267"/>
      <c r="O2198" s="272"/>
      <c r="P2198" s="260"/>
      <c r="Q2198" s="261"/>
      <c r="R2198" s="262"/>
      <c r="S2198" s="263"/>
      <c r="T2198" s="263"/>
      <c r="U2198" s="264"/>
      <c r="V2198" s="259"/>
      <c r="W2198" s="259"/>
    </row>
    <row r="2199" spans="1:23" s="247" customFormat="1" x14ac:dyDescent="0.25">
      <c r="A2199" s="234"/>
      <c r="B2199" s="273"/>
      <c r="C2199" s="259"/>
      <c r="D2199" s="273"/>
      <c r="E2199" s="259"/>
      <c r="F2199" s="259"/>
      <c r="G2199" s="274"/>
      <c r="H2199" s="274"/>
      <c r="I2199" s="274"/>
      <c r="J2199" s="275"/>
      <c r="K2199" s="274"/>
      <c r="L2199" s="274"/>
      <c r="M2199" s="274"/>
      <c r="N2199" s="273"/>
      <c r="O2199" s="277"/>
      <c r="P2199" s="260"/>
      <c r="Q2199" s="261"/>
      <c r="R2199" s="262"/>
      <c r="S2199" s="263"/>
      <c r="T2199" s="263"/>
      <c r="U2199" s="264"/>
      <c r="V2199" s="259"/>
      <c r="W2199" s="296"/>
    </row>
    <row r="2200" spans="1:23" s="247" customFormat="1" ht="13.8" thickBot="1" x14ac:dyDescent="0.3">
      <c r="A2200" s="234"/>
      <c r="B2200" s="273"/>
      <c r="C2200" s="259"/>
      <c r="D2200" s="273"/>
      <c r="E2200" s="259"/>
      <c r="F2200" s="259"/>
      <c r="G2200" s="274"/>
      <c r="H2200" s="274"/>
      <c r="I2200" s="274"/>
      <c r="J2200" s="275"/>
      <c r="K2200" s="274"/>
      <c r="L2200" s="274"/>
      <c r="M2200" s="274"/>
      <c r="N2200" s="273"/>
      <c r="O2200" s="277"/>
      <c r="P2200" s="260"/>
      <c r="Q2200" s="261"/>
      <c r="R2200" s="262"/>
      <c r="S2200" s="263"/>
      <c r="T2200" s="263"/>
      <c r="U2200" s="264"/>
      <c r="V2200" s="259"/>
      <c r="W2200" s="259"/>
    </row>
    <row r="2201" spans="1:23" s="247" customFormat="1" ht="13.8" thickTop="1" x14ac:dyDescent="0.25">
      <c r="A2201" s="237"/>
      <c r="B2201" s="267"/>
      <c r="C2201" s="268"/>
      <c r="D2201" s="267"/>
      <c r="E2201" s="268"/>
      <c r="F2201" s="268"/>
      <c r="G2201" s="269"/>
      <c r="H2201" s="269"/>
      <c r="I2201" s="269"/>
      <c r="J2201" s="270"/>
      <c r="K2201" s="269"/>
      <c r="L2201" s="269"/>
      <c r="M2201" s="269"/>
      <c r="N2201" s="267"/>
      <c r="O2201" s="272"/>
      <c r="P2201" s="260"/>
      <c r="Q2201" s="261"/>
      <c r="R2201" s="262"/>
      <c r="S2201" s="263"/>
      <c r="T2201" s="263"/>
      <c r="U2201" s="264"/>
      <c r="V2201" s="259"/>
      <c r="W2201" s="259"/>
    </row>
    <row r="2202" spans="1:23" s="247" customFormat="1" x14ac:dyDescent="0.25">
      <c r="A2202" s="238"/>
      <c r="B2202" s="273"/>
      <c r="C2202" s="259"/>
      <c r="D2202" s="273"/>
      <c r="E2202" s="259"/>
      <c r="F2202" s="259"/>
      <c r="G2202" s="274"/>
      <c r="H2202" s="274"/>
      <c r="I2202" s="274"/>
      <c r="J2202" s="275"/>
      <c r="K2202" s="274"/>
      <c r="L2202" s="274"/>
      <c r="M2202" s="274"/>
      <c r="N2202" s="273"/>
      <c r="O2202" s="277"/>
      <c r="P2202" s="260"/>
      <c r="Q2202" s="261"/>
      <c r="R2202" s="262"/>
      <c r="S2202" s="263"/>
      <c r="T2202" s="263"/>
      <c r="U2202" s="264"/>
      <c r="V2202" s="259"/>
      <c r="W2202" s="259"/>
    </row>
    <row r="2203" spans="1:23" s="247" customFormat="1" x14ac:dyDescent="0.25">
      <c r="A2203" s="238"/>
      <c r="B2203" s="273"/>
      <c r="C2203" s="268"/>
      <c r="D2203" s="273"/>
      <c r="E2203" s="259"/>
      <c r="F2203" s="259"/>
      <c r="G2203" s="274"/>
      <c r="H2203" s="274"/>
      <c r="I2203" s="274"/>
      <c r="J2203" s="270"/>
      <c r="K2203" s="274"/>
      <c r="L2203" s="274"/>
      <c r="M2203" s="274"/>
      <c r="N2203" s="267"/>
      <c r="O2203" s="277"/>
      <c r="P2203" s="260"/>
      <c r="Q2203" s="261"/>
      <c r="R2203" s="262"/>
      <c r="S2203" s="263"/>
      <c r="T2203" s="263"/>
      <c r="U2203" s="264"/>
      <c r="V2203" s="259"/>
      <c r="W2203" s="259"/>
    </row>
    <row r="2204" spans="1:23" s="247" customFormat="1" x14ac:dyDescent="0.25">
      <c r="A2204" s="238"/>
      <c r="B2204" s="267"/>
      <c r="C2204" s="268"/>
      <c r="D2204" s="267"/>
      <c r="E2204" s="268"/>
      <c r="F2204" s="268"/>
      <c r="G2204" s="269"/>
      <c r="H2204" s="269"/>
      <c r="I2204" s="269"/>
      <c r="J2204" s="270"/>
      <c r="K2204" s="269"/>
      <c r="L2204" s="269"/>
      <c r="M2204" s="269"/>
      <c r="N2204" s="267"/>
      <c r="O2204" s="272"/>
      <c r="P2204" s="260"/>
      <c r="Q2204" s="261"/>
      <c r="R2204" s="262"/>
      <c r="S2204" s="263"/>
      <c r="T2204" s="263"/>
      <c r="U2204" s="264"/>
      <c r="V2204" s="259"/>
      <c r="W2204" s="259"/>
    </row>
    <row r="2205" spans="1:23" s="247" customFormat="1" x14ac:dyDescent="0.25">
      <c r="A2205" s="238"/>
      <c r="B2205" s="273"/>
      <c r="C2205" s="259"/>
      <c r="D2205" s="273"/>
      <c r="E2205" s="259"/>
      <c r="F2205" s="259"/>
      <c r="G2205" s="274"/>
      <c r="H2205" s="274"/>
      <c r="I2205" s="274"/>
      <c r="J2205" s="275"/>
      <c r="K2205" s="274"/>
      <c r="L2205" s="274"/>
      <c r="M2205" s="274"/>
      <c r="N2205" s="273"/>
      <c r="O2205" s="277"/>
      <c r="P2205" s="260"/>
      <c r="Q2205" s="261"/>
      <c r="R2205" s="262"/>
      <c r="S2205" s="263"/>
      <c r="T2205" s="263"/>
      <c r="U2205" s="264"/>
      <c r="V2205" s="259"/>
      <c r="W2205" s="259"/>
    </row>
    <row r="2206" spans="1:23" s="247" customFormat="1" x14ac:dyDescent="0.25">
      <c r="A2206" s="238"/>
      <c r="B2206" s="267"/>
      <c r="C2206" s="268"/>
      <c r="D2206" s="267"/>
      <c r="E2206" s="268"/>
      <c r="F2206" s="268"/>
      <c r="G2206" s="269"/>
      <c r="H2206" s="269"/>
      <c r="I2206" s="269"/>
      <c r="J2206" s="270"/>
      <c r="K2206" s="269"/>
      <c r="L2206" s="269"/>
      <c r="M2206" s="269"/>
      <c r="N2206" s="267"/>
      <c r="O2206" s="272"/>
      <c r="P2206" s="260"/>
      <c r="Q2206" s="261"/>
      <c r="R2206" s="262"/>
      <c r="S2206" s="263"/>
      <c r="T2206" s="263"/>
      <c r="U2206" s="264"/>
      <c r="V2206" s="259"/>
      <c r="W2206" s="259"/>
    </row>
    <row r="2207" spans="1:23" s="247" customFormat="1" x14ac:dyDescent="0.25">
      <c r="A2207" s="238"/>
      <c r="B2207" s="273"/>
      <c r="C2207" s="259"/>
      <c r="D2207" s="273"/>
      <c r="E2207" s="259"/>
      <c r="F2207" s="259"/>
      <c r="G2207" s="274"/>
      <c r="H2207" s="274"/>
      <c r="I2207" s="274"/>
      <c r="J2207" s="275"/>
      <c r="K2207" s="274"/>
      <c r="L2207" s="274"/>
      <c r="M2207" s="274"/>
      <c r="N2207" s="273"/>
      <c r="O2207" s="277"/>
      <c r="P2207" s="260"/>
      <c r="Q2207" s="261"/>
      <c r="R2207" s="262"/>
      <c r="S2207" s="263"/>
      <c r="T2207" s="263"/>
      <c r="U2207" s="264"/>
      <c r="V2207" s="259"/>
      <c r="W2207" s="259"/>
    </row>
    <row r="2208" spans="1:23" s="247" customFormat="1" x14ac:dyDescent="0.25">
      <c r="A2208" s="238"/>
      <c r="B2208" s="267"/>
      <c r="C2208" s="268"/>
      <c r="D2208" s="267"/>
      <c r="E2208" s="268"/>
      <c r="F2208" s="268"/>
      <c r="G2208" s="269"/>
      <c r="H2208" s="269"/>
      <c r="I2208" s="269"/>
      <c r="J2208" s="270"/>
      <c r="K2208" s="269"/>
      <c r="L2208" s="269"/>
      <c r="M2208" s="269"/>
      <c r="N2208" s="267"/>
      <c r="O2208" s="272"/>
      <c r="P2208" s="260"/>
      <c r="Q2208" s="261"/>
      <c r="R2208" s="262"/>
      <c r="S2208" s="263"/>
      <c r="T2208" s="263"/>
      <c r="U2208" s="264"/>
      <c r="V2208" s="259"/>
      <c r="W2208" s="259"/>
    </row>
    <row r="2209" spans="1:23" s="247" customFormat="1" x14ac:dyDescent="0.25">
      <c r="A2209" s="238"/>
      <c r="B2209" s="267"/>
      <c r="C2209" s="268"/>
      <c r="D2209" s="267"/>
      <c r="E2209" s="268"/>
      <c r="F2209" s="268"/>
      <c r="G2209" s="269"/>
      <c r="H2209" s="269"/>
      <c r="I2209" s="269"/>
      <c r="J2209" s="270"/>
      <c r="K2209" s="269"/>
      <c r="L2209" s="269"/>
      <c r="M2209" s="269"/>
      <c r="N2209" s="267"/>
      <c r="O2209" s="272"/>
      <c r="P2209" s="260"/>
      <c r="Q2209" s="261"/>
      <c r="R2209" s="262"/>
      <c r="S2209" s="263"/>
      <c r="T2209" s="263"/>
      <c r="U2209" s="264"/>
      <c r="V2209" s="259"/>
      <c r="W2209" s="259"/>
    </row>
    <row r="2210" spans="1:23" s="247" customFormat="1" x14ac:dyDescent="0.25">
      <c r="A2210" s="238"/>
      <c r="B2210" s="267"/>
      <c r="C2210" s="268"/>
      <c r="D2210" s="267"/>
      <c r="E2210" s="268"/>
      <c r="F2210" s="268"/>
      <c r="G2210" s="269"/>
      <c r="H2210" s="269"/>
      <c r="I2210" s="269"/>
      <c r="J2210" s="270"/>
      <c r="K2210" s="269"/>
      <c r="L2210" s="269"/>
      <c r="M2210" s="269"/>
      <c r="N2210" s="267"/>
      <c r="O2210" s="272"/>
      <c r="P2210" s="260"/>
      <c r="Q2210" s="261"/>
      <c r="R2210" s="262"/>
      <c r="S2210" s="263"/>
      <c r="T2210" s="263"/>
      <c r="U2210" s="264"/>
      <c r="V2210" s="259"/>
      <c r="W2210" s="259"/>
    </row>
    <row r="2211" spans="1:23" s="247" customFormat="1" x14ac:dyDescent="0.25">
      <c r="A2211" s="238"/>
      <c r="B2211" s="267"/>
      <c r="C2211" s="268"/>
      <c r="D2211" s="267"/>
      <c r="E2211" s="268"/>
      <c r="F2211" s="268"/>
      <c r="G2211" s="269"/>
      <c r="H2211" s="269"/>
      <c r="I2211" s="269"/>
      <c r="J2211" s="270"/>
      <c r="K2211" s="269"/>
      <c r="L2211" s="269"/>
      <c r="M2211" s="269"/>
      <c r="N2211" s="267"/>
      <c r="O2211" s="272"/>
      <c r="P2211" s="260"/>
      <c r="Q2211" s="261"/>
      <c r="R2211" s="262"/>
      <c r="S2211" s="263"/>
      <c r="T2211" s="263"/>
      <c r="U2211" s="264"/>
      <c r="V2211" s="259"/>
      <c r="W2211" s="259"/>
    </row>
    <row r="2212" spans="1:23" s="247" customFormat="1" x14ac:dyDescent="0.25">
      <c r="A2212" s="238"/>
      <c r="B2212" s="267"/>
      <c r="C2212" s="268"/>
      <c r="D2212" s="267"/>
      <c r="E2212" s="268"/>
      <c r="F2212" s="268"/>
      <c r="G2212" s="269"/>
      <c r="H2212" s="269"/>
      <c r="I2212" s="269"/>
      <c r="J2212" s="270"/>
      <c r="K2212" s="269"/>
      <c r="L2212" s="269"/>
      <c r="M2212" s="269"/>
      <c r="N2212" s="267"/>
      <c r="O2212" s="272"/>
      <c r="P2212" s="260"/>
      <c r="Q2212" s="261"/>
      <c r="R2212" s="262"/>
      <c r="S2212" s="263"/>
      <c r="T2212" s="263"/>
      <c r="U2212" s="264"/>
      <c r="V2212" s="259"/>
      <c r="W2212" s="259"/>
    </row>
    <row r="2213" spans="1:23" s="247" customFormat="1" ht="13.8" thickBot="1" x14ac:dyDescent="0.3">
      <c r="A2213" s="239"/>
      <c r="B2213" s="267"/>
      <c r="C2213" s="268"/>
      <c r="D2213" s="267"/>
      <c r="E2213" s="268"/>
      <c r="F2213" s="268"/>
      <c r="G2213" s="269"/>
      <c r="H2213" s="269"/>
      <c r="I2213" s="269"/>
      <c r="J2213" s="270"/>
      <c r="K2213" s="269"/>
      <c r="L2213" s="269"/>
      <c r="M2213" s="269"/>
      <c r="N2213" s="267"/>
      <c r="O2213" s="272"/>
      <c r="P2213" s="260"/>
      <c r="Q2213" s="261"/>
      <c r="R2213" s="262"/>
      <c r="S2213" s="263"/>
      <c r="T2213" s="263"/>
      <c r="U2213" s="264"/>
      <c r="V2213" s="259"/>
      <c r="W2213" s="259"/>
    </row>
    <row r="2214" spans="1:23" s="247" customFormat="1" ht="13.8" thickTop="1" x14ac:dyDescent="0.25">
      <c r="A2214" s="232"/>
      <c r="B2214" s="283"/>
      <c r="C2214" s="284"/>
      <c r="D2214" s="283"/>
      <c r="E2214" s="284"/>
      <c r="F2214" s="284"/>
      <c r="G2214" s="285"/>
      <c r="H2214" s="285"/>
      <c r="I2214" s="285"/>
      <c r="J2214" s="286"/>
      <c r="K2214" s="285"/>
      <c r="L2214" s="285"/>
      <c r="M2214" s="285"/>
      <c r="N2214" s="283"/>
      <c r="O2214" s="287"/>
      <c r="P2214" s="288"/>
      <c r="Q2214" s="289"/>
      <c r="R2214" s="290"/>
      <c r="S2214" s="291"/>
      <c r="T2214" s="291"/>
      <c r="U2214" s="292"/>
      <c r="V2214" s="259"/>
      <c r="W2214" s="259"/>
    </row>
    <row r="2215" spans="1:23" s="247" customFormat="1" x14ac:dyDescent="0.25">
      <c r="A2215" s="232"/>
      <c r="B2215" s="283"/>
      <c r="C2215" s="284"/>
      <c r="D2215" s="283"/>
      <c r="E2215" s="284"/>
      <c r="F2215" s="284"/>
      <c r="G2215" s="285"/>
      <c r="H2215" s="285"/>
      <c r="I2215" s="285"/>
      <c r="J2215" s="286"/>
      <c r="K2215" s="285"/>
      <c r="L2215" s="285"/>
      <c r="M2215" s="285"/>
      <c r="N2215" s="283"/>
      <c r="O2215" s="287"/>
      <c r="P2215" s="288"/>
      <c r="Q2215" s="289"/>
      <c r="R2215" s="290"/>
      <c r="S2215" s="291"/>
      <c r="T2215" s="291"/>
      <c r="U2215" s="292"/>
      <c r="V2215" s="259"/>
      <c r="W2215" s="268"/>
    </row>
    <row r="2216" spans="1:23" s="247" customFormat="1" x14ac:dyDescent="0.25">
      <c r="A2216" s="232"/>
      <c r="B2216" s="283"/>
      <c r="C2216" s="284"/>
      <c r="D2216" s="283"/>
      <c r="E2216" s="284"/>
      <c r="F2216" s="284"/>
      <c r="G2216" s="285"/>
      <c r="H2216" s="285"/>
      <c r="I2216" s="285"/>
      <c r="J2216" s="286"/>
      <c r="K2216" s="285"/>
      <c r="L2216" s="285"/>
      <c r="M2216" s="285"/>
      <c r="N2216" s="283"/>
      <c r="O2216" s="287"/>
      <c r="P2216" s="288"/>
      <c r="Q2216" s="289"/>
      <c r="R2216" s="290"/>
      <c r="S2216" s="291"/>
      <c r="T2216" s="291"/>
      <c r="U2216" s="292"/>
      <c r="V2216" s="259"/>
      <c r="W2216" s="268"/>
    </row>
    <row r="2217" spans="1:23" s="247" customFormat="1" x14ac:dyDescent="0.25">
      <c r="A2217" s="234"/>
      <c r="B2217" s="267"/>
      <c r="C2217" s="268"/>
      <c r="D2217" s="267"/>
      <c r="E2217" s="268"/>
      <c r="F2217" s="268"/>
      <c r="G2217" s="269"/>
      <c r="H2217" s="269"/>
      <c r="I2217" s="269"/>
      <c r="J2217" s="286"/>
      <c r="K2217" s="269"/>
      <c r="L2217" s="269"/>
      <c r="M2217" s="269"/>
      <c r="N2217" s="283"/>
      <c r="O2217" s="272"/>
      <c r="P2217" s="260"/>
      <c r="Q2217" s="261"/>
      <c r="R2217" s="262"/>
      <c r="S2217" s="263"/>
      <c r="T2217" s="263"/>
      <c r="U2217" s="264"/>
      <c r="V2217" s="259"/>
      <c r="W2217" s="259"/>
    </row>
    <row r="2218" spans="1:23" s="247" customFormat="1" x14ac:dyDescent="0.25">
      <c r="A2218" s="234"/>
      <c r="B2218" s="273"/>
      <c r="C2218" s="259"/>
      <c r="D2218" s="273"/>
      <c r="E2218" s="259"/>
      <c r="F2218" s="259"/>
      <c r="G2218" s="274"/>
      <c r="H2218" s="274"/>
      <c r="I2218" s="274"/>
      <c r="J2218" s="286"/>
      <c r="K2218" s="274"/>
      <c r="L2218" s="274"/>
      <c r="M2218" s="274"/>
      <c r="N2218" s="283"/>
      <c r="O2218" s="277"/>
      <c r="P2218" s="260"/>
      <c r="Q2218" s="261"/>
      <c r="R2218" s="262"/>
      <c r="S2218" s="263"/>
      <c r="T2218" s="263"/>
      <c r="U2218" s="264"/>
      <c r="V2218" s="259"/>
      <c r="W2218" s="259"/>
    </row>
  </sheetData>
  <phoneticPr fontId="0" type="noConversion"/>
  <conditionalFormatting sqref="J1628:J2218">
    <cfRule type="cellIs" priority="1" stopIfTrue="1" operator="notEqual">
      <formula>"""N"""</formula>
    </cfRule>
  </conditionalFormatting>
  <dataValidations disablePrompts="1" count="1">
    <dataValidation type="custom" allowBlank="1" showInputMessage="1" showErrorMessage="1" errorTitle="AVIOGEP" error="Non è in Italia?_x000a_La mia licenza per questo programma è solo per usarlo relativamente a luoghi italiani!!!!!" sqref="J1628:J2218 N1628:N2218">
      <formula1>"N"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8" sqref="F8"/>
    </sheetView>
  </sheetViews>
  <sheetFormatPr defaultRowHeight="13.2" x14ac:dyDescent="0.25"/>
  <cols>
    <col min="1" max="1" width="13.6640625" customWidth="1"/>
    <col min="2" max="2" width="24.6640625" customWidth="1"/>
    <col min="3" max="3" width="12.6640625" style="6" customWidth="1"/>
    <col min="4" max="4" width="9.6640625" customWidth="1"/>
    <col min="5" max="5" width="10.6640625" customWidth="1"/>
    <col min="6" max="6" width="13.6640625" customWidth="1"/>
  </cols>
  <sheetData>
    <row r="1" spans="1:9" ht="42" customHeight="1" thickBot="1" x14ac:dyDescent="0.3">
      <c r="A1" s="160" t="s">
        <v>338</v>
      </c>
      <c r="B1" s="162" t="s">
        <v>2785</v>
      </c>
      <c r="C1" s="161" t="s">
        <v>2784</v>
      </c>
      <c r="D1" s="162" t="s">
        <v>339</v>
      </c>
      <c r="E1" s="161" t="s">
        <v>340</v>
      </c>
      <c r="F1" s="162" t="s">
        <v>341</v>
      </c>
      <c r="G1" s="159"/>
      <c r="H1" s="159"/>
      <c r="I1" s="159"/>
    </row>
    <row r="2" spans="1:9" x14ac:dyDescent="0.25">
      <c r="A2" s="221"/>
      <c r="B2" s="163" t="s">
        <v>1286</v>
      </c>
      <c r="C2" s="6" t="s">
        <v>2786</v>
      </c>
    </row>
    <row r="3" spans="1:9" x14ac:dyDescent="0.25">
      <c r="A3" s="221"/>
      <c r="B3" s="163" t="s">
        <v>1282</v>
      </c>
      <c r="C3" s="6" t="s">
        <v>2786</v>
      </c>
    </row>
    <row r="4" spans="1:9" x14ac:dyDescent="0.25">
      <c r="A4" s="221"/>
      <c r="B4" s="163" t="s">
        <v>1264</v>
      </c>
      <c r="C4" s="6" t="s">
        <v>2786</v>
      </c>
    </row>
    <row r="5" spans="1:9" x14ac:dyDescent="0.25">
      <c r="A5" s="221"/>
      <c r="B5" s="163" t="s">
        <v>1265</v>
      </c>
      <c r="C5" s="6" t="s">
        <v>2786</v>
      </c>
    </row>
    <row r="6" spans="1:9" x14ac:dyDescent="0.25">
      <c r="A6" s="221"/>
      <c r="B6" s="163" t="s">
        <v>1266</v>
      </c>
      <c r="C6" s="6" t="s">
        <v>2786</v>
      </c>
    </row>
    <row r="7" spans="1:9" x14ac:dyDescent="0.25">
      <c r="A7" s="221" t="s">
        <v>1069</v>
      </c>
      <c r="B7" s="163" t="s">
        <v>1267</v>
      </c>
      <c r="C7" s="6" t="s">
        <v>2786</v>
      </c>
      <c r="D7">
        <v>15</v>
      </c>
      <c r="E7">
        <v>50</v>
      </c>
      <c r="F7">
        <v>400</v>
      </c>
    </row>
    <row r="8" spans="1:9" ht="13.5" customHeight="1" x14ac:dyDescent="0.25">
      <c r="A8" s="221"/>
      <c r="B8" s="163" t="s">
        <v>1283</v>
      </c>
      <c r="C8" s="6" t="s">
        <v>2786</v>
      </c>
    </row>
    <row r="9" spans="1:9" x14ac:dyDescent="0.25">
      <c r="A9" s="221"/>
      <c r="B9" s="163" t="s">
        <v>1284</v>
      </c>
      <c r="C9" s="6" t="s">
        <v>2786</v>
      </c>
    </row>
    <row r="10" spans="1:9" x14ac:dyDescent="0.25">
      <c r="A10" s="221"/>
      <c r="B10" s="163" t="s">
        <v>1285</v>
      </c>
      <c r="C10" s="6" t="s">
        <v>2786</v>
      </c>
    </row>
    <row r="11" spans="1:9" x14ac:dyDescent="0.25">
      <c r="A11" s="221"/>
      <c r="B11" s="163" t="s">
        <v>1268</v>
      </c>
      <c r="C11" s="6" t="s">
        <v>2786</v>
      </c>
    </row>
    <row r="12" spans="1:9" x14ac:dyDescent="0.25">
      <c r="A12" s="221"/>
      <c r="B12" s="163" t="s">
        <v>1270</v>
      </c>
      <c r="C12" s="6" t="s">
        <v>2786</v>
      </c>
    </row>
    <row r="13" spans="1:9" x14ac:dyDescent="0.25">
      <c r="A13" s="221"/>
      <c r="B13" s="163" t="s">
        <v>1271</v>
      </c>
      <c r="C13" s="6" t="s">
        <v>2786</v>
      </c>
    </row>
    <row r="14" spans="1:9" x14ac:dyDescent="0.25">
      <c r="A14" s="221"/>
      <c r="B14" s="163" t="s">
        <v>1272</v>
      </c>
      <c r="C14" s="6" t="s">
        <v>2786</v>
      </c>
    </row>
    <row r="15" spans="1:9" x14ac:dyDescent="0.25">
      <c r="A15" s="221"/>
      <c r="B15" s="163" t="s">
        <v>1273</v>
      </c>
      <c r="C15" s="6" t="s">
        <v>2786</v>
      </c>
    </row>
    <row r="16" spans="1:9" x14ac:dyDescent="0.25">
      <c r="A16" s="221"/>
      <c r="B16" s="163" t="s">
        <v>1274</v>
      </c>
      <c r="C16" s="6" t="s">
        <v>2786</v>
      </c>
    </row>
    <row r="17" spans="1:3" x14ac:dyDescent="0.25">
      <c r="A17" s="221"/>
      <c r="B17" s="163" t="s">
        <v>1275</v>
      </c>
      <c r="C17" s="6" t="s">
        <v>2786</v>
      </c>
    </row>
    <row r="18" spans="1:3" x14ac:dyDescent="0.25">
      <c r="A18" s="221"/>
      <c r="B18" s="163" t="s">
        <v>1276</v>
      </c>
      <c r="C18" s="6" t="s">
        <v>2786</v>
      </c>
    </row>
    <row r="19" spans="1:3" x14ac:dyDescent="0.25">
      <c r="A19" s="221"/>
      <c r="B19" s="163" t="s">
        <v>1277</v>
      </c>
      <c r="C19" s="6" t="s">
        <v>2786</v>
      </c>
    </row>
    <row r="20" spans="1:3" x14ac:dyDescent="0.25">
      <c r="A20" s="221"/>
      <c r="B20" s="163" t="s">
        <v>1278</v>
      </c>
      <c r="C20" s="6" t="s">
        <v>2786</v>
      </c>
    </row>
    <row r="21" spans="1:3" x14ac:dyDescent="0.25">
      <c r="A21" s="221"/>
      <c r="B21" s="163" t="s">
        <v>1279</v>
      </c>
      <c r="C21" s="6" t="s">
        <v>2786</v>
      </c>
    </row>
    <row r="22" spans="1:3" x14ac:dyDescent="0.25">
      <c r="A22" s="221"/>
      <c r="B22" s="163" t="s">
        <v>1280</v>
      </c>
      <c r="C22" s="6" t="s">
        <v>2786</v>
      </c>
    </row>
    <row r="23" spans="1:3" x14ac:dyDescent="0.25">
      <c r="A23" s="221"/>
      <c r="B23" s="163" t="s">
        <v>1281</v>
      </c>
      <c r="C23" s="6" t="s">
        <v>2786</v>
      </c>
    </row>
    <row r="24" spans="1:3" x14ac:dyDescent="0.25">
      <c r="A24" s="221"/>
      <c r="B24" s="163" t="s">
        <v>1287</v>
      </c>
      <c r="C24" s="6" t="s">
        <v>2786</v>
      </c>
    </row>
    <row r="25" spans="1:3" x14ac:dyDescent="0.25">
      <c r="A25" s="221"/>
      <c r="B25" s="163" t="s">
        <v>1288</v>
      </c>
      <c r="C25" s="6" t="s">
        <v>2786</v>
      </c>
    </row>
    <row r="26" spans="1:3" x14ac:dyDescent="0.25">
      <c r="A26" s="221"/>
      <c r="B26" s="163" t="s">
        <v>1289</v>
      </c>
      <c r="C26" s="6" t="s">
        <v>2786</v>
      </c>
    </row>
    <row r="27" spans="1:3" x14ac:dyDescent="0.25">
      <c r="A27" s="221"/>
      <c r="B27" s="163" t="s">
        <v>1290</v>
      </c>
      <c r="C27" s="6" t="s">
        <v>2786</v>
      </c>
    </row>
  </sheetData>
  <phoneticPr fontId="0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53"/>
  <sheetViews>
    <sheetView workbookViewId="0">
      <selection sqref="A1:IV65536"/>
    </sheetView>
  </sheetViews>
  <sheetFormatPr defaultRowHeight="13.2" x14ac:dyDescent="0.25"/>
  <cols>
    <col min="1" max="1" width="15.33203125" customWidth="1"/>
    <col min="2" max="5" width="3.6640625" style="1" customWidth="1"/>
    <col min="6" max="28" width="3.6640625" style="3" customWidth="1"/>
    <col min="29" max="49" width="3.6640625" style="1" customWidth="1"/>
  </cols>
  <sheetData>
    <row r="1" spans="1:68" ht="15" customHeight="1" thickBot="1" x14ac:dyDescent="0.3">
      <c r="A1" s="6"/>
      <c r="B1" s="2"/>
      <c r="C1" s="2"/>
      <c r="D1" s="2"/>
      <c r="E1" s="2"/>
      <c r="F1" s="2"/>
      <c r="G1" s="2"/>
    </row>
    <row r="2" spans="1:68" ht="15" customHeight="1" thickBot="1" x14ac:dyDescent="0.3">
      <c r="A2" s="6"/>
      <c r="B2" s="480" t="s">
        <v>80</v>
      </c>
      <c r="C2" s="480"/>
      <c r="D2" s="480"/>
      <c r="E2" s="480"/>
      <c r="F2" s="480" t="s">
        <v>81</v>
      </c>
      <c r="G2" s="480"/>
      <c r="H2" s="480"/>
      <c r="I2" s="480"/>
      <c r="J2" s="480" t="s">
        <v>82</v>
      </c>
      <c r="K2" s="480"/>
      <c r="L2" s="480"/>
      <c r="M2" s="480"/>
      <c r="N2" s="480" t="s">
        <v>83</v>
      </c>
      <c r="O2" s="480"/>
      <c r="P2" s="480"/>
      <c r="Q2" s="480"/>
      <c r="R2" s="480" t="s">
        <v>84</v>
      </c>
      <c r="S2" s="480"/>
      <c r="T2" s="480"/>
      <c r="U2" s="480"/>
      <c r="V2" s="480" t="s">
        <v>85</v>
      </c>
      <c r="W2" s="480"/>
      <c r="X2" s="480"/>
      <c r="Y2" s="480"/>
      <c r="Z2" s="480" t="s">
        <v>86</v>
      </c>
      <c r="AA2" s="480"/>
      <c r="AB2" s="480"/>
      <c r="AC2" s="480"/>
      <c r="AD2" s="480" t="s">
        <v>87</v>
      </c>
      <c r="AE2" s="480"/>
      <c r="AF2" s="480"/>
      <c r="AG2" s="480"/>
      <c r="AH2" s="480" t="s">
        <v>88</v>
      </c>
      <c r="AI2" s="480"/>
      <c r="AJ2" s="480"/>
      <c r="AK2" s="480"/>
      <c r="AL2" s="480" t="s">
        <v>91</v>
      </c>
      <c r="AM2" s="480"/>
      <c r="AN2" s="480"/>
      <c r="AO2" s="480"/>
      <c r="AP2" s="480" t="s">
        <v>89</v>
      </c>
      <c r="AQ2" s="480"/>
      <c r="AR2" s="480"/>
      <c r="AS2" s="480"/>
      <c r="AT2" s="480" t="s">
        <v>90</v>
      </c>
      <c r="AU2" s="480"/>
      <c r="AV2" s="480"/>
      <c r="AW2" s="480"/>
    </row>
    <row r="3" spans="1:68" ht="15" customHeight="1" thickBot="1" x14ac:dyDescent="0.3">
      <c r="A3" s="6"/>
      <c r="B3" s="479" t="s">
        <v>77</v>
      </c>
      <c r="C3" s="479"/>
      <c r="D3" s="479" t="s">
        <v>78</v>
      </c>
      <c r="E3" s="479"/>
      <c r="F3" s="479" t="s">
        <v>77</v>
      </c>
      <c r="G3" s="479"/>
      <c r="H3" s="479" t="s">
        <v>78</v>
      </c>
      <c r="I3" s="479"/>
      <c r="J3" s="479" t="s">
        <v>77</v>
      </c>
      <c r="K3" s="479"/>
      <c r="L3" s="479" t="s">
        <v>78</v>
      </c>
      <c r="M3" s="479"/>
      <c r="N3" s="479" t="s">
        <v>77</v>
      </c>
      <c r="O3" s="479"/>
      <c r="P3" s="479" t="s">
        <v>78</v>
      </c>
      <c r="Q3" s="479"/>
      <c r="R3" s="479" t="s">
        <v>77</v>
      </c>
      <c r="S3" s="479"/>
      <c r="T3" s="479" t="s">
        <v>78</v>
      </c>
      <c r="U3" s="479"/>
      <c r="V3" s="479" t="s">
        <v>77</v>
      </c>
      <c r="W3" s="479"/>
      <c r="X3" s="479" t="s">
        <v>78</v>
      </c>
      <c r="Y3" s="479"/>
      <c r="Z3" s="479" t="s">
        <v>77</v>
      </c>
      <c r="AA3" s="479"/>
      <c r="AB3" s="479" t="s">
        <v>78</v>
      </c>
      <c r="AC3" s="479"/>
      <c r="AD3" s="479" t="s">
        <v>77</v>
      </c>
      <c r="AE3" s="479"/>
      <c r="AF3" s="479" t="s">
        <v>78</v>
      </c>
      <c r="AG3" s="479"/>
      <c r="AH3" s="479" t="s">
        <v>77</v>
      </c>
      <c r="AI3" s="479"/>
      <c r="AJ3" s="479" t="s">
        <v>78</v>
      </c>
      <c r="AK3" s="479"/>
      <c r="AL3" s="479" t="s">
        <v>77</v>
      </c>
      <c r="AM3" s="479"/>
      <c r="AN3" s="479" t="s">
        <v>78</v>
      </c>
      <c r="AO3" s="479"/>
      <c r="AP3" s="479" t="s">
        <v>77</v>
      </c>
      <c r="AQ3" s="479"/>
      <c r="AR3" s="479" t="s">
        <v>78</v>
      </c>
      <c r="AS3" s="479"/>
      <c r="AT3" s="479" t="s">
        <v>77</v>
      </c>
      <c r="AU3" s="479"/>
      <c r="AV3" s="479" t="s">
        <v>78</v>
      </c>
      <c r="AW3" s="479"/>
    </row>
    <row r="4" spans="1:68" ht="15" customHeight="1" thickBot="1" x14ac:dyDescent="0.3">
      <c r="B4" s="9" t="s">
        <v>75</v>
      </c>
      <c r="C4" s="10" t="s">
        <v>76</v>
      </c>
      <c r="D4" s="9" t="s">
        <v>75</v>
      </c>
      <c r="E4" s="10" t="s">
        <v>76</v>
      </c>
      <c r="F4" s="9" t="s">
        <v>75</v>
      </c>
      <c r="G4" s="10" t="s">
        <v>76</v>
      </c>
      <c r="H4" s="9" t="s">
        <v>75</v>
      </c>
      <c r="I4" s="10" t="s">
        <v>76</v>
      </c>
      <c r="J4" s="9" t="s">
        <v>75</v>
      </c>
      <c r="K4" s="10" t="s">
        <v>76</v>
      </c>
      <c r="L4" s="9" t="s">
        <v>75</v>
      </c>
      <c r="M4" s="10" t="s">
        <v>76</v>
      </c>
      <c r="N4" s="9" t="s">
        <v>75</v>
      </c>
      <c r="O4" s="10" t="s">
        <v>76</v>
      </c>
      <c r="P4" s="9" t="s">
        <v>75</v>
      </c>
      <c r="Q4" s="10" t="s">
        <v>76</v>
      </c>
      <c r="R4" s="9" t="s">
        <v>75</v>
      </c>
      <c r="S4" s="10" t="s">
        <v>76</v>
      </c>
      <c r="T4" s="9" t="s">
        <v>75</v>
      </c>
      <c r="U4" s="10" t="s">
        <v>76</v>
      </c>
      <c r="V4" s="9" t="s">
        <v>75</v>
      </c>
      <c r="W4" s="10" t="s">
        <v>76</v>
      </c>
      <c r="X4" s="9" t="s">
        <v>75</v>
      </c>
      <c r="Y4" s="10" t="s">
        <v>76</v>
      </c>
      <c r="Z4" s="9" t="s">
        <v>75</v>
      </c>
      <c r="AA4" s="10" t="s">
        <v>76</v>
      </c>
      <c r="AB4" s="9" t="s">
        <v>75</v>
      </c>
      <c r="AC4" s="10" t="s">
        <v>76</v>
      </c>
      <c r="AD4" s="9" t="s">
        <v>75</v>
      </c>
      <c r="AE4" s="10" t="s">
        <v>76</v>
      </c>
      <c r="AF4" s="9" t="s">
        <v>75</v>
      </c>
      <c r="AG4" s="10" t="s">
        <v>76</v>
      </c>
      <c r="AH4" s="9" t="s">
        <v>75</v>
      </c>
      <c r="AI4" s="10" t="s">
        <v>76</v>
      </c>
      <c r="AJ4" s="9" t="s">
        <v>75</v>
      </c>
      <c r="AK4" s="10" t="s">
        <v>76</v>
      </c>
      <c r="AL4" s="9" t="s">
        <v>75</v>
      </c>
      <c r="AM4" s="10" t="s">
        <v>76</v>
      </c>
      <c r="AN4" s="9" t="s">
        <v>75</v>
      </c>
      <c r="AO4" s="10" t="s">
        <v>76</v>
      </c>
      <c r="AP4" s="9" t="s">
        <v>75</v>
      </c>
      <c r="AQ4" s="10" t="s">
        <v>76</v>
      </c>
      <c r="AR4" s="9" t="s">
        <v>75</v>
      </c>
      <c r="AS4" s="10" t="s">
        <v>76</v>
      </c>
      <c r="AT4" s="9" t="s">
        <v>75</v>
      </c>
      <c r="AU4" s="10" t="s">
        <v>76</v>
      </c>
      <c r="AV4" s="9" t="s">
        <v>75</v>
      </c>
      <c r="AW4" s="10" t="s">
        <v>76</v>
      </c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 ht="15" customHeight="1" thickBot="1" x14ac:dyDescent="0.3">
      <c r="A5" s="13" t="s">
        <v>96</v>
      </c>
      <c r="B5" s="14">
        <v>7</v>
      </c>
      <c r="C5" s="15">
        <v>35</v>
      </c>
      <c r="D5" s="14">
        <v>16</v>
      </c>
      <c r="E5" s="15">
        <v>41</v>
      </c>
      <c r="F5" s="14">
        <v>7</v>
      </c>
      <c r="G5" s="15">
        <v>15</v>
      </c>
      <c r="H5" s="14">
        <v>17</v>
      </c>
      <c r="I5" s="15">
        <v>23</v>
      </c>
      <c r="J5" s="14">
        <v>6</v>
      </c>
      <c r="K5" s="15">
        <v>34</v>
      </c>
      <c r="L5" s="14">
        <v>17</v>
      </c>
      <c r="M5" s="15">
        <v>59</v>
      </c>
      <c r="N5" s="14">
        <v>5</v>
      </c>
      <c r="O5" s="15">
        <v>45</v>
      </c>
      <c r="P5" s="14">
        <v>18</v>
      </c>
      <c r="Q5" s="15">
        <v>32</v>
      </c>
      <c r="R5" s="14">
        <v>4</v>
      </c>
      <c r="S5" s="15">
        <v>51</v>
      </c>
      <c r="T5" s="14">
        <v>19</v>
      </c>
      <c r="U5" s="15">
        <v>12</v>
      </c>
      <c r="V5" s="14">
        <v>4</v>
      </c>
      <c r="W5" s="15">
        <v>28</v>
      </c>
      <c r="X5" s="14">
        <v>19</v>
      </c>
      <c r="Y5" s="15">
        <v>39</v>
      </c>
      <c r="Z5" s="14">
        <v>4</v>
      </c>
      <c r="AA5" s="15">
        <v>30</v>
      </c>
      <c r="AB5" s="14">
        <v>19</v>
      </c>
      <c r="AC5" s="15">
        <v>47</v>
      </c>
      <c r="AD5" s="14">
        <v>5</v>
      </c>
      <c r="AE5" s="15">
        <v>1</v>
      </c>
      <c r="AF5" s="14">
        <v>19</v>
      </c>
      <c r="AG5" s="15">
        <v>19</v>
      </c>
      <c r="AH5" s="14">
        <v>5</v>
      </c>
      <c r="AI5" s="15">
        <v>31</v>
      </c>
      <c r="AJ5" s="14">
        <v>18</v>
      </c>
      <c r="AK5" s="15">
        <v>36</v>
      </c>
      <c r="AL5" s="14">
        <v>6</v>
      </c>
      <c r="AM5" s="15">
        <v>2</v>
      </c>
      <c r="AN5" s="14">
        <v>17</v>
      </c>
      <c r="AO5" s="15">
        <v>46</v>
      </c>
      <c r="AP5" s="14">
        <v>6</v>
      </c>
      <c r="AQ5" s="15">
        <v>44</v>
      </c>
      <c r="AR5" s="14">
        <v>16</v>
      </c>
      <c r="AS5" s="15">
        <v>42</v>
      </c>
      <c r="AT5" s="14">
        <v>7</v>
      </c>
      <c r="AU5" s="15">
        <v>18</v>
      </c>
      <c r="AV5" s="14">
        <v>16</v>
      </c>
      <c r="AW5" s="15">
        <v>31</v>
      </c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1:68" ht="15" customHeight="1" thickBot="1" x14ac:dyDescent="0.3">
      <c r="A6" s="13" t="s">
        <v>109</v>
      </c>
      <c r="B6" s="16">
        <v>7</v>
      </c>
      <c r="C6" s="17">
        <v>21</v>
      </c>
      <c r="D6" s="16">
        <v>16</v>
      </c>
      <c r="E6" s="17">
        <v>41</v>
      </c>
      <c r="F6" s="16">
        <v>7</v>
      </c>
      <c r="G6" s="17">
        <v>3</v>
      </c>
      <c r="H6" s="16">
        <v>17</v>
      </c>
      <c r="I6" s="17">
        <v>20</v>
      </c>
      <c r="J6" s="16">
        <v>6</v>
      </c>
      <c r="K6" s="17">
        <v>25</v>
      </c>
      <c r="L6" s="16">
        <v>17</v>
      </c>
      <c r="M6" s="17">
        <v>53</v>
      </c>
      <c r="N6" s="16">
        <v>5</v>
      </c>
      <c r="O6" s="17">
        <v>39</v>
      </c>
      <c r="P6" s="16">
        <v>18</v>
      </c>
      <c r="Q6" s="17">
        <v>23</v>
      </c>
      <c r="R6" s="16">
        <v>4</v>
      </c>
      <c r="S6" s="17">
        <v>49</v>
      </c>
      <c r="T6" s="16">
        <v>18</v>
      </c>
      <c r="U6" s="17">
        <v>59</v>
      </c>
      <c r="V6" s="16">
        <v>4</v>
      </c>
      <c r="W6" s="17">
        <v>27</v>
      </c>
      <c r="X6" s="16">
        <v>19</v>
      </c>
      <c r="Y6" s="17">
        <v>24</v>
      </c>
      <c r="Z6" s="16">
        <v>4</v>
      </c>
      <c r="AA6" s="17">
        <v>30</v>
      </c>
      <c r="AB6" s="16">
        <v>19</v>
      </c>
      <c r="AC6" s="17">
        <v>31</v>
      </c>
      <c r="AD6" s="16">
        <v>4</v>
      </c>
      <c r="AE6" s="17">
        <v>59</v>
      </c>
      <c r="AF6" s="16">
        <v>19</v>
      </c>
      <c r="AG6" s="17">
        <v>6</v>
      </c>
      <c r="AH6" s="16">
        <v>5</v>
      </c>
      <c r="AI6" s="17">
        <v>26</v>
      </c>
      <c r="AJ6" s="16">
        <v>18</v>
      </c>
      <c r="AK6" s="17">
        <v>26</v>
      </c>
      <c r="AL6" s="16">
        <v>5</v>
      </c>
      <c r="AM6" s="17">
        <v>53</v>
      </c>
      <c r="AN6" s="16">
        <v>17</v>
      </c>
      <c r="AO6" s="17">
        <v>39</v>
      </c>
      <c r="AP6" s="16">
        <v>6</v>
      </c>
      <c r="AQ6" s="17">
        <v>32</v>
      </c>
      <c r="AR6" s="16">
        <v>16</v>
      </c>
      <c r="AS6" s="17">
        <v>49</v>
      </c>
      <c r="AT6" s="16">
        <v>7</v>
      </c>
      <c r="AU6" s="17">
        <v>3</v>
      </c>
      <c r="AV6" s="16">
        <v>16</v>
      </c>
      <c r="AW6" s="17">
        <v>30</v>
      </c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 spans="1:68" ht="15" customHeight="1" thickBot="1" x14ac:dyDescent="0.3">
      <c r="A7" s="13" t="s">
        <v>106</v>
      </c>
      <c r="B7" s="16">
        <v>7</v>
      </c>
      <c r="C7" s="17">
        <v>17</v>
      </c>
      <c r="D7" s="16">
        <v>16</v>
      </c>
      <c r="E7" s="17">
        <v>41</v>
      </c>
      <c r="F7" s="16">
        <v>7</v>
      </c>
      <c r="G7" s="17">
        <v>0</v>
      </c>
      <c r="H7" s="16">
        <v>17</v>
      </c>
      <c r="I7" s="17">
        <v>19</v>
      </c>
      <c r="J7" s="16">
        <v>6</v>
      </c>
      <c r="K7" s="17">
        <v>23</v>
      </c>
      <c r="L7" s="16">
        <v>17</v>
      </c>
      <c r="M7" s="17">
        <v>51</v>
      </c>
      <c r="N7" s="16">
        <v>5</v>
      </c>
      <c r="O7" s="17">
        <v>38</v>
      </c>
      <c r="P7" s="16">
        <v>18</v>
      </c>
      <c r="Q7" s="17">
        <v>20</v>
      </c>
      <c r="R7" s="16">
        <v>4</v>
      </c>
      <c r="S7" s="17">
        <v>49</v>
      </c>
      <c r="T7" s="16">
        <v>18</v>
      </c>
      <c r="U7" s="17">
        <v>55</v>
      </c>
      <c r="V7" s="16">
        <v>4</v>
      </c>
      <c r="W7" s="17">
        <v>28</v>
      </c>
      <c r="X7" s="16">
        <v>19</v>
      </c>
      <c r="Y7" s="17">
        <v>20</v>
      </c>
      <c r="Z7" s="16">
        <v>4</v>
      </c>
      <c r="AA7" s="17">
        <v>31</v>
      </c>
      <c r="AB7" s="16">
        <v>19</v>
      </c>
      <c r="AC7" s="17">
        <v>27</v>
      </c>
      <c r="AD7" s="16">
        <v>4</v>
      </c>
      <c r="AE7" s="17">
        <v>58</v>
      </c>
      <c r="AF7" s="16">
        <v>19</v>
      </c>
      <c r="AG7" s="17">
        <v>3</v>
      </c>
      <c r="AH7" s="16">
        <v>5</v>
      </c>
      <c r="AI7" s="17">
        <v>25</v>
      </c>
      <c r="AJ7" s="16">
        <v>18</v>
      </c>
      <c r="AK7" s="17">
        <v>24</v>
      </c>
      <c r="AL7" s="16">
        <v>5</v>
      </c>
      <c r="AM7" s="17">
        <v>51</v>
      </c>
      <c r="AN7" s="16">
        <v>17</v>
      </c>
      <c r="AO7" s="17">
        <v>38</v>
      </c>
      <c r="AP7" s="16">
        <v>6</v>
      </c>
      <c r="AQ7" s="17">
        <v>28</v>
      </c>
      <c r="AR7" s="16">
        <v>16</v>
      </c>
      <c r="AS7" s="17">
        <v>49</v>
      </c>
      <c r="AT7" s="16">
        <v>6</v>
      </c>
      <c r="AU7" s="17">
        <v>59</v>
      </c>
      <c r="AV7" s="16">
        <v>16</v>
      </c>
      <c r="AW7" s="17">
        <v>31</v>
      </c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spans="1:68" ht="15" customHeight="1" thickBot="1" x14ac:dyDescent="0.3">
      <c r="A8" s="13" t="s">
        <v>102</v>
      </c>
      <c r="B8" s="16">
        <v>7</v>
      </c>
      <c r="C8" s="17">
        <v>29</v>
      </c>
      <c r="D8" s="16">
        <v>16</v>
      </c>
      <c r="E8" s="17">
        <v>45</v>
      </c>
      <c r="F8" s="16">
        <v>7</v>
      </c>
      <c r="G8" s="17">
        <v>10</v>
      </c>
      <c r="H8" s="16">
        <v>17</v>
      </c>
      <c r="I8" s="17">
        <v>25</v>
      </c>
      <c r="J8" s="16">
        <v>6</v>
      </c>
      <c r="K8" s="17">
        <v>31</v>
      </c>
      <c r="L8" s="16">
        <v>17</v>
      </c>
      <c r="M8" s="17">
        <v>59</v>
      </c>
      <c r="N8" s="16">
        <v>5</v>
      </c>
      <c r="O8" s="17">
        <v>45</v>
      </c>
      <c r="P8" s="16">
        <v>18</v>
      </c>
      <c r="Q8" s="17">
        <v>29</v>
      </c>
      <c r="R8" s="16">
        <v>4</v>
      </c>
      <c r="S8" s="17">
        <v>54</v>
      </c>
      <c r="T8" s="16">
        <v>19</v>
      </c>
      <c r="U8" s="17">
        <v>6</v>
      </c>
      <c r="V8" s="16">
        <v>4</v>
      </c>
      <c r="W8" s="17">
        <v>32</v>
      </c>
      <c r="X8" s="16">
        <v>19</v>
      </c>
      <c r="Y8" s="17">
        <v>32</v>
      </c>
      <c r="Z8" s="16">
        <v>4</v>
      </c>
      <c r="AA8" s="17">
        <v>35</v>
      </c>
      <c r="AB8" s="16">
        <v>19</v>
      </c>
      <c r="AC8" s="17">
        <v>40</v>
      </c>
      <c r="AD8" s="16">
        <v>5</v>
      </c>
      <c r="AE8" s="17">
        <v>3</v>
      </c>
      <c r="AF8" s="16">
        <v>19</v>
      </c>
      <c r="AG8" s="17">
        <v>14</v>
      </c>
      <c r="AH8" s="16">
        <v>5</v>
      </c>
      <c r="AI8" s="17">
        <v>32</v>
      </c>
      <c r="AJ8" s="16">
        <v>18</v>
      </c>
      <c r="AK8" s="17">
        <v>33</v>
      </c>
      <c r="AL8" s="16">
        <v>6</v>
      </c>
      <c r="AM8" s="17">
        <v>0</v>
      </c>
      <c r="AN8" s="16">
        <v>17</v>
      </c>
      <c r="AO8" s="17">
        <v>45</v>
      </c>
      <c r="AP8" s="16">
        <v>6</v>
      </c>
      <c r="AQ8" s="17">
        <v>39</v>
      </c>
      <c r="AR8" s="16">
        <v>16</v>
      </c>
      <c r="AS8" s="17">
        <v>54</v>
      </c>
      <c r="AT8" s="16">
        <v>7</v>
      </c>
      <c r="AU8" s="17">
        <v>11</v>
      </c>
      <c r="AV8" s="16">
        <v>16</v>
      </c>
      <c r="AW8" s="17">
        <v>35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 spans="1:68" ht="15" customHeight="1" thickBot="1" x14ac:dyDescent="0.3">
      <c r="A9" s="13" t="s">
        <v>1036</v>
      </c>
      <c r="B9" s="16">
        <v>7</v>
      </c>
      <c r="C9" s="17">
        <v>50</v>
      </c>
      <c r="D9" s="16">
        <v>16</v>
      </c>
      <c r="E9" s="17">
        <v>45</v>
      </c>
      <c r="F9" s="16">
        <v>7</v>
      </c>
      <c r="G9" s="17">
        <v>28</v>
      </c>
      <c r="H9" s="16">
        <v>17</v>
      </c>
      <c r="I9" s="17">
        <v>29</v>
      </c>
      <c r="J9" s="16">
        <v>6</v>
      </c>
      <c r="K9" s="17">
        <v>44</v>
      </c>
      <c r="L9" s="16">
        <v>18</v>
      </c>
      <c r="M9" s="17">
        <v>7</v>
      </c>
      <c r="N9" s="16">
        <v>5</v>
      </c>
      <c r="O9" s="17">
        <v>53</v>
      </c>
      <c r="P9" s="16">
        <v>18</v>
      </c>
      <c r="Q9" s="17">
        <v>42</v>
      </c>
      <c r="R9" s="16">
        <v>4</v>
      </c>
      <c r="S9" s="17">
        <v>56</v>
      </c>
      <c r="T9" s="16">
        <v>19</v>
      </c>
      <c r="U9" s="17">
        <v>25</v>
      </c>
      <c r="V9" s="16">
        <v>4</v>
      </c>
      <c r="W9" s="17">
        <v>31</v>
      </c>
      <c r="X9" s="16">
        <v>19</v>
      </c>
      <c r="Y9" s="17">
        <v>54</v>
      </c>
      <c r="Z9" s="16">
        <v>4</v>
      </c>
      <c r="AA9" s="17">
        <v>34</v>
      </c>
      <c r="AB9" s="16">
        <v>20</v>
      </c>
      <c r="AC9" s="17">
        <v>2</v>
      </c>
      <c r="AD9" s="16">
        <v>5</v>
      </c>
      <c r="AE9" s="17">
        <v>6</v>
      </c>
      <c r="AF9" s="16">
        <v>19</v>
      </c>
      <c r="AG9" s="17">
        <v>33</v>
      </c>
      <c r="AH9" s="16">
        <v>5</v>
      </c>
      <c r="AI9" s="17">
        <v>39</v>
      </c>
      <c r="AJ9" s="16">
        <v>18</v>
      </c>
      <c r="AK9" s="17">
        <v>47</v>
      </c>
      <c r="AL9" s="16">
        <v>6</v>
      </c>
      <c r="AM9" s="17">
        <v>12</v>
      </c>
      <c r="AN9" s="16">
        <v>17</v>
      </c>
      <c r="AO9" s="17">
        <v>55</v>
      </c>
      <c r="AP9" s="16">
        <v>6</v>
      </c>
      <c r="AQ9" s="17">
        <v>57</v>
      </c>
      <c r="AR9" s="16">
        <v>16</v>
      </c>
      <c r="AS9" s="17">
        <v>58</v>
      </c>
      <c r="AT9" s="16">
        <v>7</v>
      </c>
      <c r="AU9" s="17">
        <v>32</v>
      </c>
      <c r="AV9" s="16">
        <v>16</v>
      </c>
      <c r="AW9" s="17">
        <v>35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 spans="1:68" ht="15" customHeight="1" thickBot="1" x14ac:dyDescent="0.3">
      <c r="A10" s="13" t="s">
        <v>2932</v>
      </c>
      <c r="B10" s="16">
        <v>7</v>
      </c>
      <c r="C10" s="17">
        <v>52</v>
      </c>
      <c r="D10" s="16">
        <v>16</v>
      </c>
      <c r="E10" s="17">
        <v>41</v>
      </c>
      <c r="F10" s="16">
        <v>7</v>
      </c>
      <c r="G10" s="17">
        <v>28</v>
      </c>
      <c r="H10" s="16">
        <v>17</v>
      </c>
      <c r="I10" s="17">
        <v>26</v>
      </c>
      <c r="J10" s="16">
        <v>6</v>
      </c>
      <c r="K10" s="17">
        <v>44</v>
      </c>
      <c r="L10" s="16">
        <v>18</v>
      </c>
      <c r="M10" s="17">
        <v>5</v>
      </c>
      <c r="N10" s="16">
        <v>5</v>
      </c>
      <c r="O10" s="17">
        <v>52</v>
      </c>
      <c r="P10" s="16">
        <v>18</v>
      </c>
      <c r="Q10" s="17">
        <v>42</v>
      </c>
      <c r="R10" s="16">
        <v>4</v>
      </c>
      <c r="S10" s="17">
        <v>53</v>
      </c>
      <c r="T10" s="16">
        <v>19</v>
      </c>
      <c r="U10" s="17">
        <v>26</v>
      </c>
      <c r="V10" s="16">
        <v>4</v>
      </c>
      <c r="W10" s="17">
        <v>27</v>
      </c>
      <c r="X10" s="16">
        <v>19</v>
      </c>
      <c r="Y10" s="17">
        <v>55</v>
      </c>
      <c r="Z10" s="16">
        <v>4</v>
      </c>
      <c r="AA10" s="17">
        <v>30</v>
      </c>
      <c r="AB10" s="16">
        <v>20</v>
      </c>
      <c r="AC10" s="17">
        <v>4</v>
      </c>
      <c r="AD10" s="16">
        <v>5</v>
      </c>
      <c r="AE10" s="17">
        <v>3</v>
      </c>
      <c r="AF10" s="16">
        <v>19</v>
      </c>
      <c r="AG10" s="17">
        <v>33</v>
      </c>
      <c r="AH10" s="16">
        <v>5</v>
      </c>
      <c r="AI10" s="17">
        <v>37</v>
      </c>
      <c r="AJ10" s="16">
        <v>18</v>
      </c>
      <c r="AK10" s="17">
        <v>47</v>
      </c>
      <c r="AL10" s="16">
        <v>6</v>
      </c>
      <c r="AM10" s="17">
        <v>11</v>
      </c>
      <c r="AN10" s="16">
        <v>17</v>
      </c>
      <c r="AO10" s="17">
        <v>53</v>
      </c>
      <c r="AP10" s="16">
        <v>6</v>
      </c>
      <c r="AQ10" s="17">
        <v>57</v>
      </c>
      <c r="AR10" s="16">
        <v>16</v>
      </c>
      <c r="AS10" s="17">
        <v>55</v>
      </c>
      <c r="AT10" s="16">
        <v>7</v>
      </c>
      <c r="AU10" s="17">
        <v>34</v>
      </c>
      <c r="AV10" s="16">
        <v>16</v>
      </c>
      <c r="AW10" s="17">
        <v>31</v>
      </c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 spans="1:68" ht="15" customHeight="1" thickBot="1" x14ac:dyDescent="0.3">
      <c r="A11" s="13" t="s">
        <v>107</v>
      </c>
      <c r="B11" s="16">
        <v>7</v>
      </c>
      <c r="C11" s="17">
        <v>38</v>
      </c>
      <c r="D11" s="16">
        <v>16</v>
      </c>
      <c r="E11" s="17">
        <v>48</v>
      </c>
      <c r="F11" s="16">
        <v>7</v>
      </c>
      <c r="G11" s="17">
        <v>18</v>
      </c>
      <c r="H11" s="16">
        <v>17</v>
      </c>
      <c r="I11" s="17">
        <v>29</v>
      </c>
      <c r="J11" s="16">
        <v>6</v>
      </c>
      <c r="K11" s="17">
        <v>38</v>
      </c>
      <c r="L11" s="16">
        <v>18</v>
      </c>
      <c r="M11" s="17">
        <v>4</v>
      </c>
      <c r="N11" s="16">
        <v>5</v>
      </c>
      <c r="O11" s="17">
        <v>51</v>
      </c>
      <c r="P11" s="16">
        <v>18</v>
      </c>
      <c r="Q11" s="17">
        <v>36</v>
      </c>
      <c r="R11" s="16">
        <v>4</v>
      </c>
      <c r="S11" s="17">
        <v>58</v>
      </c>
      <c r="T11" s="16">
        <v>19</v>
      </c>
      <c r="U11" s="17">
        <v>15</v>
      </c>
      <c r="V11" s="16">
        <v>4</v>
      </c>
      <c r="W11" s="17">
        <v>35</v>
      </c>
      <c r="X11" s="16">
        <v>19</v>
      </c>
      <c r="Y11" s="17">
        <v>41</v>
      </c>
      <c r="Z11" s="16">
        <v>4</v>
      </c>
      <c r="AA11" s="17">
        <v>38</v>
      </c>
      <c r="AB11" s="16">
        <v>19</v>
      </c>
      <c r="AC11" s="17">
        <v>49</v>
      </c>
      <c r="AD11" s="16">
        <v>5</v>
      </c>
      <c r="AE11" s="17">
        <v>8</v>
      </c>
      <c r="AF11" s="16">
        <v>19</v>
      </c>
      <c r="AG11" s="17">
        <v>23</v>
      </c>
      <c r="AH11" s="16">
        <v>5</v>
      </c>
      <c r="AI11" s="17">
        <v>37</v>
      </c>
      <c r="AJ11" s="16">
        <v>18</v>
      </c>
      <c r="AK11" s="17">
        <v>40</v>
      </c>
      <c r="AL11" s="16">
        <v>6</v>
      </c>
      <c r="AM11" s="17">
        <v>6</v>
      </c>
      <c r="AN11" s="16">
        <v>17</v>
      </c>
      <c r="AO11" s="17">
        <v>51</v>
      </c>
      <c r="AP11" s="16">
        <v>6</v>
      </c>
      <c r="AQ11" s="17">
        <v>47</v>
      </c>
      <c r="AR11" s="16">
        <v>16</v>
      </c>
      <c r="AS11" s="17">
        <v>58</v>
      </c>
      <c r="AT11" s="16">
        <v>7</v>
      </c>
      <c r="AU11" s="17">
        <v>20</v>
      </c>
      <c r="AV11" s="16">
        <v>16</v>
      </c>
      <c r="AW11" s="17">
        <v>38</v>
      </c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spans="1:68" ht="15" customHeight="1" thickBot="1" x14ac:dyDescent="0.3">
      <c r="A12" s="13" t="s">
        <v>94</v>
      </c>
      <c r="B12" s="16">
        <v>8</v>
      </c>
      <c r="C12" s="17">
        <v>6</v>
      </c>
      <c r="D12" s="16">
        <v>17</v>
      </c>
      <c r="E12" s="17">
        <v>0</v>
      </c>
      <c r="F12" s="16">
        <v>7</v>
      </c>
      <c r="G12" s="17">
        <v>43</v>
      </c>
      <c r="H12" s="16">
        <v>17</v>
      </c>
      <c r="I12" s="17">
        <v>44</v>
      </c>
      <c r="J12" s="16">
        <v>7</v>
      </c>
      <c r="K12" s="17">
        <v>0</v>
      </c>
      <c r="L12" s="16">
        <v>18</v>
      </c>
      <c r="M12" s="17">
        <v>22</v>
      </c>
      <c r="N12" s="16">
        <v>6</v>
      </c>
      <c r="O12" s="17">
        <v>9</v>
      </c>
      <c r="P12" s="16">
        <v>18</v>
      </c>
      <c r="Q12" s="17">
        <v>58</v>
      </c>
      <c r="R12" s="16">
        <v>5</v>
      </c>
      <c r="S12" s="17">
        <v>11</v>
      </c>
      <c r="T12" s="16">
        <v>19</v>
      </c>
      <c r="U12" s="17">
        <v>41</v>
      </c>
      <c r="V12" s="16">
        <v>4</v>
      </c>
      <c r="W12" s="17">
        <v>46</v>
      </c>
      <c r="X12" s="16">
        <v>20</v>
      </c>
      <c r="Y12" s="17">
        <v>9</v>
      </c>
      <c r="Z12" s="16">
        <v>4</v>
      </c>
      <c r="AA12" s="17">
        <v>49</v>
      </c>
      <c r="AB12" s="16">
        <v>20</v>
      </c>
      <c r="AC12" s="17">
        <v>17</v>
      </c>
      <c r="AD12" s="16">
        <v>5</v>
      </c>
      <c r="AE12" s="17">
        <v>21</v>
      </c>
      <c r="AF12" s="16">
        <v>19</v>
      </c>
      <c r="AG12" s="17">
        <v>48</v>
      </c>
      <c r="AH12" s="16">
        <v>5</v>
      </c>
      <c r="AI12" s="17">
        <v>54</v>
      </c>
      <c r="AJ12" s="16">
        <v>19</v>
      </c>
      <c r="AK12" s="17">
        <v>2</v>
      </c>
      <c r="AL12" s="16">
        <v>6</v>
      </c>
      <c r="AM12" s="17">
        <v>27</v>
      </c>
      <c r="AN12" s="16">
        <v>18</v>
      </c>
      <c r="AO12" s="17">
        <v>10</v>
      </c>
      <c r="AP12" s="16">
        <v>7</v>
      </c>
      <c r="AQ12" s="17">
        <v>12</v>
      </c>
      <c r="AR12" s="16">
        <v>17</v>
      </c>
      <c r="AS12" s="17">
        <v>13</v>
      </c>
      <c r="AT12" s="16">
        <v>7</v>
      </c>
      <c r="AU12" s="17">
        <v>48</v>
      </c>
      <c r="AV12" s="16">
        <v>16</v>
      </c>
      <c r="AW12" s="17">
        <v>50</v>
      </c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spans="1:68" ht="15" customHeight="1" thickBot="1" x14ac:dyDescent="0.3">
      <c r="A13" s="13" t="s">
        <v>93</v>
      </c>
      <c r="B13" s="16">
        <v>8</v>
      </c>
      <c r="C13" s="17">
        <v>3</v>
      </c>
      <c r="D13" s="16">
        <v>16</v>
      </c>
      <c r="E13" s="17">
        <v>52</v>
      </c>
      <c r="F13" s="16">
        <v>7</v>
      </c>
      <c r="G13" s="17">
        <v>40</v>
      </c>
      <c r="H13" s="16">
        <v>17</v>
      </c>
      <c r="I13" s="17">
        <v>36</v>
      </c>
      <c r="J13" s="16">
        <v>6</v>
      </c>
      <c r="K13" s="17">
        <v>55</v>
      </c>
      <c r="L13" s="16">
        <v>18</v>
      </c>
      <c r="M13" s="17">
        <v>16</v>
      </c>
      <c r="N13" s="16">
        <v>6</v>
      </c>
      <c r="O13" s="17">
        <v>2</v>
      </c>
      <c r="P13" s="16">
        <v>18</v>
      </c>
      <c r="Q13" s="17">
        <v>53</v>
      </c>
      <c r="R13" s="16">
        <v>5</v>
      </c>
      <c r="S13" s="17">
        <v>4</v>
      </c>
      <c r="T13" s="16">
        <v>19</v>
      </c>
      <c r="U13" s="17">
        <v>38</v>
      </c>
      <c r="V13" s="16">
        <v>4</v>
      </c>
      <c r="W13" s="17">
        <v>37</v>
      </c>
      <c r="X13" s="16">
        <v>20</v>
      </c>
      <c r="Y13" s="17">
        <v>7</v>
      </c>
      <c r="Z13" s="16">
        <v>4</v>
      </c>
      <c r="AA13" s="17">
        <v>40</v>
      </c>
      <c r="AB13" s="16">
        <v>20</v>
      </c>
      <c r="AC13" s="17">
        <v>15</v>
      </c>
      <c r="AD13" s="16">
        <v>5</v>
      </c>
      <c r="AE13" s="17">
        <v>14</v>
      </c>
      <c r="AF13" s="16">
        <v>19</v>
      </c>
      <c r="AG13" s="17">
        <v>45</v>
      </c>
      <c r="AH13" s="16">
        <v>5</v>
      </c>
      <c r="AI13" s="17">
        <v>48</v>
      </c>
      <c r="AJ13" s="16">
        <v>18</v>
      </c>
      <c r="AK13" s="17">
        <v>58</v>
      </c>
      <c r="AL13" s="16">
        <v>6</v>
      </c>
      <c r="AM13" s="17">
        <v>22</v>
      </c>
      <c r="AN13" s="16">
        <v>18</v>
      </c>
      <c r="AO13" s="17">
        <v>4</v>
      </c>
      <c r="AP13" s="16">
        <v>7</v>
      </c>
      <c r="AQ13" s="17">
        <v>8</v>
      </c>
      <c r="AR13" s="16">
        <v>17</v>
      </c>
      <c r="AS13" s="17">
        <v>6</v>
      </c>
      <c r="AT13" s="16">
        <v>7</v>
      </c>
      <c r="AU13" s="17">
        <v>45</v>
      </c>
      <c r="AV13" s="16">
        <v>16</v>
      </c>
      <c r="AW13" s="17">
        <v>42</v>
      </c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 ht="15" customHeight="1" thickBot="1" x14ac:dyDescent="0.3">
      <c r="A14" s="13" t="s">
        <v>79</v>
      </c>
      <c r="B14" s="16">
        <v>7</v>
      </c>
      <c r="C14" s="17">
        <v>40</v>
      </c>
      <c r="D14" s="16">
        <v>16</v>
      </c>
      <c r="E14" s="17">
        <v>41</v>
      </c>
      <c r="F14" s="16">
        <v>7</v>
      </c>
      <c r="G14" s="17">
        <v>19</v>
      </c>
      <c r="H14" s="16">
        <v>17</v>
      </c>
      <c r="I14" s="17">
        <v>23</v>
      </c>
      <c r="J14" s="16">
        <v>6</v>
      </c>
      <c r="K14" s="17">
        <v>37</v>
      </c>
      <c r="L14" s="16">
        <v>18</v>
      </c>
      <c r="M14" s="17">
        <v>0</v>
      </c>
      <c r="N14" s="16">
        <v>5</v>
      </c>
      <c r="O14" s="17">
        <v>47</v>
      </c>
      <c r="P14" s="16">
        <v>18</v>
      </c>
      <c r="Q14" s="17">
        <v>34</v>
      </c>
      <c r="R14" s="16">
        <v>4</v>
      </c>
      <c r="S14" s="17">
        <v>51</v>
      </c>
      <c r="T14" s="16">
        <v>19</v>
      </c>
      <c r="U14" s="17">
        <v>16</v>
      </c>
      <c r="V14" s="16">
        <v>4</v>
      </c>
      <c r="W14" s="17">
        <v>27</v>
      </c>
      <c r="X14" s="16">
        <v>19</v>
      </c>
      <c r="Y14" s="17">
        <v>43</v>
      </c>
      <c r="Z14" s="16">
        <v>4</v>
      </c>
      <c r="AA14" s="17">
        <v>29</v>
      </c>
      <c r="AB14" s="16">
        <v>19</v>
      </c>
      <c r="AC14" s="17">
        <v>52</v>
      </c>
      <c r="AD14" s="16">
        <v>5</v>
      </c>
      <c r="AE14" s="17">
        <v>1</v>
      </c>
      <c r="AF14" s="16">
        <v>19</v>
      </c>
      <c r="AG14" s="17">
        <v>23</v>
      </c>
      <c r="AH14" s="16">
        <v>5</v>
      </c>
      <c r="AI14" s="17">
        <v>32</v>
      </c>
      <c r="AJ14" s="16">
        <v>18</v>
      </c>
      <c r="AK14" s="17">
        <v>39</v>
      </c>
      <c r="AL14" s="16">
        <v>6</v>
      </c>
      <c r="AM14" s="17">
        <v>4</v>
      </c>
      <c r="AN14" s="16">
        <v>17</v>
      </c>
      <c r="AO14" s="17">
        <v>48</v>
      </c>
      <c r="AP14" s="16">
        <v>6</v>
      </c>
      <c r="AQ14" s="17">
        <v>47</v>
      </c>
      <c r="AR14" s="16">
        <v>16</v>
      </c>
      <c r="AS14" s="17">
        <v>52</v>
      </c>
      <c r="AT14" s="16">
        <v>7</v>
      </c>
      <c r="AU14" s="17">
        <v>22</v>
      </c>
      <c r="AV14" s="16">
        <v>16</v>
      </c>
      <c r="AW14" s="17">
        <v>30</v>
      </c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spans="1:68" ht="15" customHeight="1" thickBot="1" x14ac:dyDescent="0.3">
      <c r="A15" s="13" t="s">
        <v>101</v>
      </c>
      <c r="B15" s="16">
        <v>7</v>
      </c>
      <c r="C15" s="17">
        <v>28</v>
      </c>
      <c r="D15" s="16">
        <v>16</v>
      </c>
      <c r="E15" s="17">
        <v>39</v>
      </c>
      <c r="F15" s="16">
        <v>7</v>
      </c>
      <c r="G15" s="17">
        <v>8</v>
      </c>
      <c r="H15" s="16">
        <v>17</v>
      </c>
      <c r="I15" s="17">
        <v>20</v>
      </c>
      <c r="J15" s="16">
        <v>6</v>
      </c>
      <c r="K15" s="17">
        <v>29</v>
      </c>
      <c r="L15" s="16">
        <v>17</v>
      </c>
      <c r="M15" s="17">
        <v>55</v>
      </c>
      <c r="N15" s="16">
        <v>5</v>
      </c>
      <c r="O15" s="17">
        <v>41</v>
      </c>
      <c r="P15" s="16">
        <v>18</v>
      </c>
      <c r="Q15" s="17">
        <v>27</v>
      </c>
      <c r="R15" s="16">
        <v>4</v>
      </c>
      <c r="S15" s="17">
        <v>49</v>
      </c>
      <c r="T15" s="16">
        <v>19</v>
      </c>
      <c r="U15" s="17">
        <v>5</v>
      </c>
      <c r="V15" s="16">
        <v>4</v>
      </c>
      <c r="W15" s="17">
        <v>26</v>
      </c>
      <c r="X15" s="16">
        <v>19</v>
      </c>
      <c r="Y15" s="17">
        <v>31</v>
      </c>
      <c r="Z15" s="16">
        <v>4</v>
      </c>
      <c r="AA15" s="17">
        <v>29</v>
      </c>
      <c r="AB15" s="16">
        <v>19</v>
      </c>
      <c r="AC15" s="17">
        <v>39</v>
      </c>
      <c r="AD15" s="16">
        <v>4</v>
      </c>
      <c r="AE15" s="17">
        <v>58</v>
      </c>
      <c r="AF15" s="16">
        <v>19</v>
      </c>
      <c r="AG15" s="17">
        <v>13</v>
      </c>
      <c r="AH15" s="16">
        <v>5</v>
      </c>
      <c r="AI15" s="17">
        <v>27</v>
      </c>
      <c r="AJ15" s="16">
        <v>18</v>
      </c>
      <c r="AK15" s="17">
        <v>30</v>
      </c>
      <c r="AL15" s="16">
        <v>5</v>
      </c>
      <c r="AM15" s="17">
        <v>57</v>
      </c>
      <c r="AN15" s="16">
        <v>17</v>
      </c>
      <c r="AO15" s="17">
        <v>42</v>
      </c>
      <c r="AP15" s="16">
        <v>6</v>
      </c>
      <c r="AQ15" s="17">
        <v>37</v>
      </c>
      <c r="AR15" s="16">
        <v>16</v>
      </c>
      <c r="AS15" s="17">
        <v>49</v>
      </c>
      <c r="AT15" s="16">
        <v>7</v>
      </c>
      <c r="AU15" s="17">
        <v>10</v>
      </c>
      <c r="AV15" s="16">
        <v>16</v>
      </c>
      <c r="AW15" s="17">
        <v>29</v>
      </c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 ht="15" customHeight="1" thickBot="1" x14ac:dyDescent="0.3">
      <c r="A16" s="13" t="s">
        <v>92</v>
      </c>
      <c r="B16" s="16">
        <v>8</v>
      </c>
      <c r="C16" s="17">
        <v>6</v>
      </c>
      <c r="D16" s="16">
        <v>17</v>
      </c>
      <c r="E16" s="17">
        <v>0</v>
      </c>
      <c r="F16" s="16">
        <v>7</v>
      </c>
      <c r="G16" s="17">
        <v>43</v>
      </c>
      <c r="H16" s="16">
        <v>17</v>
      </c>
      <c r="I16" s="17">
        <v>44</v>
      </c>
      <c r="J16" s="16">
        <v>7</v>
      </c>
      <c r="K16" s="17">
        <v>0</v>
      </c>
      <c r="L16" s="16">
        <v>18</v>
      </c>
      <c r="M16" s="17">
        <v>22</v>
      </c>
      <c r="N16" s="16">
        <v>6</v>
      </c>
      <c r="O16" s="17">
        <v>9</v>
      </c>
      <c r="P16" s="16">
        <v>18</v>
      </c>
      <c r="Q16" s="17">
        <v>58</v>
      </c>
      <c r="R16" s="16">
        <v>5</v>
      </c>
      <c r="S16" s="17">
        <v>11</v>
      </c>
      <c r="T16" s="16">
        <v>19</v>
      </c>
      <c r="U16" s="17">
        <v>41</v>
      </c>
      <c r="V16" s="16">
        <v>4</v>
      </c>
      <c r="W16" s="17">
        <v>46</v>
      </c>
      <c r="X16" s="16">
        <v>20</v>
      </c>
      <c r="Y16" s="17">
        <v>9</v>
      </c>
      <c r="Z16" s="16">
        <v>4</v>
      </c>
      <c r="AA16" s="17">
        <v>49</v>
      </c>
      <c r="AB16" s="16">
        <v>20</v>
      </c>
      <c r="AC16" s="17">
        <v>17</v>
      </c>
      <c r="AD16" s="16">
        <v>5</v>
      </c>
      <c r="AE16" s="17">
        <v>21</v>
      </c>
      <c r="AF16" s="16">
        <v>19</v>
      </c>
      <c r="AG16" s="17">
        <v>48</v>
      </c>
      <c r="AH16" s="16">
        <v>5</v>
      </c>
      <c r="AI16" s="17">
        <v>54</v>
      </c>
      <c r="AJ16" s="16">
        <v>19</v>
      </c>
      <c r="AK16" s="17">
        <v>2</v>
      </c>
      <c r="AL16" s="16">
        <v>6</v>
      </c>
      <c r="AM16" s="17">
        <v>27</v>
      </c>
      <c r="AN16" s="16">
        <v>18</v>
      </c>
      <c r="AO16" s="17">
        <v>10</v>
      </c>
      <c r="AP16" s="16">
        <v>7</v>
      </c>
      <c r="AQ16" s="17">
        <v>12</v>
      </c>
      <c r="AR16" s="16">
        <v>17</v>
      </c>
      <c r="AS16" s="17">
        <v>13</v>
      </c>
      <c r="AT16" s="16">
        <v>7</v>
      </c>
      <c r="AU16" s="17">
        <v>48</v>
      </c>
      <c r="AV16" s="16">
        <v>16</v>
      </c>
      <c r="AW16" s="17">
        <v>50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ht="15" customHeight="1" thickBot="1" x14ac:dyDescent="0.3">
      <c r="A17" s="13" t="s">
        <v>103</v>
      </c>
      <c r="B17" s="16">
        <v>7</v>
      </c>
      <c r="C17" s="17">
        <v>10</v>
      </c>
      <c r="D17" s="16">
        <v>16</v>
      </c>
      <c r="E17" s="17">
        <v>31</v>
      </c>
      <c r="F17" s="16">
        <v>6</v>
      </c>
      <c r="G17" s="17">
        <v>52</v>
      </c>
      <c r="H17" s="16">
        <v>17</v>
      </c>
      <c r="I17" s="17">
        <v>10</v>
      </c>
      <c r="J17" s="16">
        <v>6</v>
      </c>
      <c r="K17" s="17">
        <v>15</v>
      </c>
      <c r="L17" s="16">
        <v>17</v>
      </c>
      <c r="M17" s="17">
        <v>43</v>
      </c>
      <c r="N17" s="16">
        <v>5</v>
      </c>
      <c r="O17" s="17">
        <v>29</v>
      </c>
      <c r="P17" s="16">
        <v>18</v>
      </c>
      <c r="Q17" s="17">
        <v>13</v>
      </c>
      <c r="R17" s="16">
        <v>4</v>
      </c>
      <c r="S17" s="17">
        <v>39</v>
      </c>
      <c r="T17" s="16">
        <v>18</v>
      </c>
      <c r="U17" s="17">
        <v>48</v>
      </c>
      <c r="V17" s="16">
        <v>4</v>
      </c>
      <c r="W17" s="17">
        <v>18</v>
      </c>
      <c r="X17" s="16">
        <v>19</v>
      </c>
      <c r="Y17" s="17">
        <v>13</v>
      </c>
      <c r="Z17" s="16">
        <v>4</v>
      </c>
      <c r="AA17" s="17">
        <v>21</v>
      </c>
      <c r="AB17" s="16">
        <v>19</v>
      </c>
      <c r="AC17" s="17">
        <v>21</v>
      </c>
      <c r="AD17" s="16">
        <v>4</v>
      </c>
      <c r="AE17" s="17">
        <v>49</v>
      </c>
      <c r="AF17" s="16">
        <v>18</v>
      </c>
      <c r="AG17" s="17">
        <v>56</v>
      </c>
      <c r="AH17" s="16">
        <v>5</v>
      </c>
      <c r="AI17" s="17">
        <v>16</v>
      </c>
      <c r="AJ17" s="16">
        <v>18</v>
      </c>
      <c r="AK17" s="17">
        <v>16</v>
      </c>
      <c r="AL17" s="16">
        <v>5</v>
      </c>
      <c r="AM17" s="17">
        <v>43</v>
      </c>
      <c r="AN17" s="16">
        <v>17</v>
      </c>
      <c r="AO17" s="17">
        <v>29</v>
      </c>
      <c r="AP17" s="16">
        <v>6</v>
      </c>
      <c r="AQ17" s="17">
        <v>21</v>
      </c>
      <c r="AR17" s="16">
        <v>16</v>
      </c>
      <c r="AS17" s="17">
        <v>40</v>
      </c>
      <c r="AT17" s="16">
        <v>6</v>
      </c>
      <c r="AU17" s="17">
        <v>53</v>
      </c>
      <c r="AV17" s="16">
        <v>16</v>
      </c>
      <c r="AW17" s="17">
        <v>21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spans="1:68" ht="15" customHeight="1" thickBot="1" x14ac:dyDescent="0.3">
      <c r="A18" s="13" t="s">
        <v>105</v>
      </c>
      <c r="B18" s="16">
        <v>7</v>
      </c>
      <c r="C18" s="17">
        <v>45</v>
      </c>
      <c r="D18" s="16">
        <v>17</v>
      </c>
      <c r="E18" s="17">
        <v>13</v>
      </c>
      <c r="F18" s="16">
        <v>7</v>
      </c>
      <c r="G18" s="17">
        <v>28</v>
      </c>
      <c r="H18" s="16">
        <v>17</v>
      </c>
      <c r="I18" s="17">
        <v>50</v>
      </c>
      <c r="J18" s="16">
        <v>6</v>
      </c>
      <c r="K18" s="17">
        <v>52</v>
      </c>
      <c r="L18" s="16">
        <v>18</v>
      </c>
      <c r="M18" s="17">
        <v>22</v>
      </c>
      <c r="N18" s="16">
        <v>6</v>
      </c>
      <c r="O18" s="17">
        <v>8</v>
      </c>
      <c r="P18" s="16">
        <v>18</v>
      </c>
      <c r="Q18" s="17">
        <v>50</v>
      </c>
      <c r="R18" s="16">
        <v>5</v>
      </c>
      <c r="S18" s="17">
        <v>20</v>
      </c>
      <c r="T18" s="16">
        <v>19</v>
      </c>
      <c r="U18" s="17">
        <v>24</v>
      </c>
      <c r="V18" s="16">
        <v>4</v>
      </c>
      <c r="W18" s="17">
        <v>59</v>
      </c>
      <c r="X18" s="16">
        <v>19</v>
      </c>
      <c r="Y18" s="17">
        <v>47</v>
      </c>
      <c r="Z18" s="16">
        <v>5</v>
      </c>
      <c r="AA18" s="17">
        <v>3</v>
      </c>
      <c r="AB18" s="16">
        <v>19</v>
      </c>
      <c r="AC18" s="17">
        <v>55</v>
      </c>
      <c r="AD18" s="16">
        <v>5</v>
      </c>
      <c r="AE18" s="17">
        <v>29</v>
      </c>
      <c r="AF18" s="16">
        <v>19</v>
      </c>
      <c r="AG18" s="17">
        <v>32</v>
      </c>
      <c r="AH18" s="16">
        <v>5</v>
      </c>
      <c r="AI18" s="17">
        <v>55</v>
      </c>
      <c r="AJ18" s="16">
        <v>18</v>
      </c>
      <c r="AK18" s="17">
        <v>53</v>
      </c>
      <c r="AL18" s="16">
        <v>6</v>
      </c>
      <c r="AM18" s="17">
        <v>21</v>
      </c>
      <c r="AN18" s="16">
        <v>18</v>
      </c>
      <c r="AO18" s="17">
        <v>8</v>
      </c>
      <c r="AP18" s="16">
        <v>6</v>
      </c>
      <c r="AQ18" s="17">
        <v>57</v>
      </c>
      <c r="AR18" s="16">
        <v>17</v>
      </c>
      <c r="AS18" s="17">
        <v>20</v>
      </c>
      <c r="AT18" s="16">
        <v>7</v>
      </c>
      <c r="AU18" s="17">
        <v>27</v>
      </c>
      <c r="AV18" s="16">
        <v>17</v>
      </c>
      <c r="AW18" s="17">
        <v>2</v>
      </c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1:68" ht="15" customHeight="1" thickBot="1" x14ac:dyDescent="0.3">
      <c r="A19" s="13" t="s">
        <v>104</v>
      </c>
      <c r="B19" s="16">
        <v>7</v>
      </c>
      <c r="C19" s="17">
        <v>16</v>
      </c>
      <c r="D19" s="16">
        <v>16</v>
      </c>
      <c r="E19" s="17">
        <v>55</v>
      </c>
      <c r="F19" s="16">
        <v>7</v>
      </c>
      <c r="G19" s="17">
        <v>1</v>
      </c>
      <c r="H19" s="16">
        <v>17</v>
      </c>
      <c r="I19" s="17">
        <v>30</v>
      </c>
      <c r="J19" s="16">
        <v>6</v>
      </c>
      <c r="K19" s="17">
        <v>27</v>
      </c>
      <c r="L19" s="16">
        <v>17</v>
      </c>
      <c r="M19" s="17">
        <v>59</v>
      </c>
      <c r="N19" s="16">
        <v>5</v>
      </c>
      <c r="O19" s="17">
        <v>46</v>
      </c>
      <c r="P19" s="16">
        <v>18</v>
      </c>
      <c r="Q19" s="17">
        <v>25</v>
      </c>
      <c r="R19" s="16">
        <v>5</v>
      </c>
      <c r="S19" s="17">
        <v>0</v>
      </c>
      <c r="T19" s="16">
        <v>18</v>
      </c>
      <c r="U19" s="17">
        <v>57</v>
      </c>
      <c r="V19" s="16">
        <v>4</v>
      </c>
      <c r="W19" s="17">
        <v>41</v>
      </c>
      <c r="X19" s="16">
        <v>19</v>
      </c>
      <c r="Y19" s="17">
        <v>19</v>
      </c>
      <c r="Z19" s="16">
        <v>4</v>
      </c>
      <c r="AA19" s="17">
        <v>45</v>
      </c>
      <c r="AB19" s="16">
        <v>19</v>
      </c>
      <c r="AC19" s="17">
        <v>26</v>
      </c>
      <c r="AD19" s="16">
        <v>5</v>
      </c>
      <c r="AE19" s="17">
        <v>10</v>
      </c>
      <c r="AF19" s="16">
        <v>19</v>
      </c>
      <c r="AG19" s="17">
        <v>4</v>
      </c>
      <c r="AH19" s="16">
        <v>5</v>
      </c>
      <c r="AI19" s="17">
        <v>33</v>
      </c>
      <c r="AJ19" s="16">
        <v>18</v>
      </c>
      <c r="AK19" s="17">
        <v>28</v>
      </c>
      <c r="AL19" s="16">
        <v>5</v>
      </c>
      <c r="AM19" s="17">
        <v>57</v>
      </c>
      <c r="AN19" s="16">
        <v>17</v>
      </c>
      <c r="AO19" s="17">
        <v>45</v>
      </c>
      <c r="AP19" s="16">
        <v>6</v>
      </c>
      <c r="AQ19" s="17">
        <v>30</v>
      </c>
      <c r="AR19" s="16">
        <v>17</v>
      </c>
      <c r="AS19" s="17">
        <v>0</v>
      </c>
      <c r="AT19" s="16">
        <v>6</v>
      </c>
      <c r="AU19" s="17">
        <v>59</v>
      </c>
      <c r="AV19" s="16">
        <v>16</v>
      </c>
      <c r="AW19" s="17">
        <v>44</v>
      </c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spans="1:68" ht="15" customHeight="1" thickBot="1" x14ac:dyDescent="0.3">
      <c r="A20" s="13" t="s">
        <v>95</v>
      </c>
      <c r="B20" s="16">
        <v>7</v>
      </c>
      <c r="C20" s="17">
        <v>51</v>
      </c>
      <c r="D20" s="16">
        <v>16</v>
      </c>
      <c r="E20" s="17">
        <v>51</v>
      </c>
      <c r="F20" s="16">
        <v>7</v>
      </c>
      <c r="G20" s="17">
        <v>29</v>
      </c>
      <c r="H20" s="16">
        <v>17</v>
      </c>
      <c r="I20" s="17">
        <v>34</v>
      </c>
      <c r="J20" s="16">
        <v>6</v>
      </c>
      <c r="K20" s="17">
        <v>47</v>
      </c>
      <c r="L20" s="16">
        <v>18</v>
      </c>
      <c r="M20" s="17">
        <v>11</v>
      </c>
      <c r="N20" s="16">
        <v>5</v>
      </c>
      <c r="O20" s="17">
        <v>57</v>
      </c>
      <c r="P20" s="16">
        <v>18</v>
      </c>
      <c r="Q20" s="17">
        <v>45</v>
      </c>
      <c r="R20" s="16">
        <v>5</v>
      </c>
      <c r="S20" s="17">
        <v>2</v>
      </c>
      <c r="T20" s="16">
        <v>19</v>
      </c>
      <c r="U20" s="17">
        <v>26</v>
      </c>
      <c r="V20" s="16">
        <v>4</v>
      </c>
      <c r="W20" s="17">
        <v>38</v>
      </c>
      <c r="X20" s="16">
        <v>19</v>
      </c>
      <c r="Y20" s="17">
        <v>54</v>
      </c>
      <c r="Z20" s="16">
        <v>4</v>
      </c>
      <c r="AA20" s="17">
        <v>40</v>
      </c>
      <c r="AB20" s="16">
        <v>20</v>
      </c>
      <c r="AC20" s="17">
        <v>2</v>
      </c>
      <c r="AD20" s="16">
        <v>5</v>
      </c>
      <c r="AE20" s="17">
        <v>12</v>
      </c>
      <c r="AF20" s="16">
        <v>19</v>
      </c>
      <c r="AG20" s="17">
        <v>34</v>
      </c>
      <c r="AH20" s="16">
        <v>5</v>
      </c>
      <c r="AI20" s="17">
        <v>43</v>
      </c>
      <c r="AJ20" s="16">
        <v>18</v>
      </c>
      <c r="AK20" s="17">
        <v>49</v>
      </c>
      <c r="AL20" s="16">
        <v>6</v>
      </c>
      <c r="AM20" s="17">
        <v>15</v>
      </c>
      <c r="AN20" s="16">
        <v>17</v>
      </c>
      <c r="AO20" s="17">
        <v>58</v>
      </c>
      <c r="AP20" s="16">
        <v>6</v>
      </c>
      <c r="AQ20" s="17">
        <v>58</v>
      </c>
      <c r="AR20" s="16">
        <v>17</v>
      </c>
      <c r="AS20" s="17">
        <v>3</v>
      </c>
      <c r="AT20" s="16">
        <v>7</v>
      </c>
      <c r="AU20" s="17">
        <v>33</v>
      </c>
      <c r="AV20" s="16">
        <v>16</v>
      </c>
      <c r="AW20" s="17">
        <v>41</v>
      </c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 spans="1:68" ht="15" customHeight="1" thickBot="1" x14ac:dyDescent="0.3">
      <c r="A21" s="13" t="s">
        <v>100</v>
      </c>
      <c r="B21" s="18">
        <v>7</v>
      </c>
      <c r="C21" s="19">
        <v>48</v>
      </c>
      <c r="D21" s="18">
        <v>16</v>
      </c>
      <c r="E21" s="19">
        <v>32</v>
      </c>
      <c r="F21" s="18">
        <v>7</v>
      </c>
      <c r="G21" s="19">
        <v>23</v>
      </c>
      <c r="H21" s="18">
        <v>17</v>
      </c>
      <c r="I21" s="19">
        <v>18</v>
      </c>
      <c r="J21" s="18">
        <v>6</v>
      </c>
      <c r="K21" s="19">
        <v>38</v>
      </c>
      <c r="L21" s="18">
        <v>17</v>
      </c>
      <c r="M21" s="19">
        <v>58</v>
      </c>
      <c r="N21" s="18">
        <v>5</v>
      </c>
      <c r="O21" s="19">
        <v>45</v>
      </c>
      <c r="P21" s="18">
        <v>18</v>
      </c>
      <c r="Q21" s="19">
        <v>36</v>
      </c>
      <c r="R21" s="18">
        <v>4</v>
      </c>
      <c r="S21" s="19">
        <v>45</v>
      </c>
      <c r="T21" s="18">
        <v>19</v>
      </c>
      <c r="U21" s="19">
        <v>21</v>
      </c>
      <c r="V21" s="18">
        <v>4</v>
      </c>
      <c r="W21" s="19">
        <v>18</v>
      </c>
      <c r="X21" s="18">
        <v>19</v>
      </c>
      <c r="Y21" s="19">
        <v>51</v>
      </c>
      <c r="Z21" s="18">
        <v>4</v>
      </c>
      <c r="AA21" s="19">
        <v>20</v>
      </c>
      <c r="AB21" s="18">
        <v>20</v>
      </c>
      <c r="AC21" s="19">
        <v>0</v>
      </c>
      <c r="AD21" s="18">
        <v>4</v>
      </c>
      <c r="AE21" s="19">
        <v>55</v>
      </c>
      <c r="AF21" s="18">
        <v>19</v>
      </c>
      <c r="AG21" s="19">
        <v>28</v>
      </c>
      <c r="AH21" s="18">
        <v>5</v>
      </c>
      <c r="AI21" s="19">
        <v>29</v>
      </c>
      <c r="AJ21" s="18">
        <v>18</v>
      </c>
      <c r="AK21" s="19">
        <v>41</v>
      </c>
      <c r="AL21" s="18">
        <v>6</v>
      </c>
      <c r="AM21" s="19">
        <v>4</v>
      </c>
      <c r="AN21" s="18">
        <v>17</v>
      </c>
      <c r="AO21" s="19">
        <v>46</v>
      </c>
      <c r="AP21" s="18">
        <v>6</v>
      </c>
      <c r="AQ21" s="19">
        <v>52</v>
      </c>
      <c r="AR21" s="18">
        <v>16</v>
      </c>
      <c r="AS21" s="19">
        <v>47</v>
      </c>
      <c r="AT21" s="18">
        <v>7</v>
      </c>
      <c r="AU21" s="19">
        <v>29</v>
      </c>
      <c r="AV21" s="18">
        <v>16</v>
      </c>
      <c r="AW21" s="19">
        <v>23</v>
      </c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 spans="1:68" ht="15" customHeight="1" thickBot="1" x14ac:dyDescent="0.3">
      <c r="A22" s="13" t="s">
        <v>108</v>
      </c>
      <c r="B22" s="18">
        <v>7</v>
      </c>
      <c r="C22" s="19">
        <v>40</v>
      </c>
      <c r="D22" s="18">
        <v>16</v>
      </c>
      <c r="E22" s="19">
        <v>46</v>
      </c>
      <c r="F22" s="18">
        <v>7</v>
      </c>
      <c r="G22" s="19">
        <v>20</v>
      </c>
      <c r="H22" s="18">
        <v>17</v>
      </c>
      <c r="I22" s="19">
        <v>28</v>
      </c>
      <c r="J22" s="18">
        <v>6</v>
      </c>
      <c r="K22" s="19">
        <v>39</v>
      </c>
      <c r="L22" s="18">
        <v>18</v>
      </c>
      <c r="M22" s="19">
        <v>4</v>
      </c>
      <c r="N22" s="18">
        <v>5</v>
      </c>
      <c r="O22" s="19">
        <v>50</v>
      </c>
      <c r="P22" s="18">
        <v>18</v>
      </c>
      <c r="Q22" s="19">
        <v>37</v>
      </c>
      <c r="R22" s="18">
        <v>4</v>
      </c>
      <c r="S22" s="19">
        <v>56</v>
      </c>
      <c r="T22" s="18">
        <v>19</v>
      </c>
      <c r="U22" s="19">
        <v>17</v>
      </c>
      <c r="V22" s="18">
        <v>4</v>
      </c>
      <c r="W22" s="19">
        <v>32</v>
      </c>
      <c r="X22" s="18">
        <v>19</v>
      </c>
      <c r="Y22" s="19">
        <v>43</v>
      </c>
      <c r="Z22" s="18">
        <v>4</v>
      </c>
      <c r="AA22" s="19">
        <v>35</v>
      </c>
      <c r="AB22" s="18">
        <v>19</v>
      </c>
      <c r="AC22" s="19">
        <v>51</v>
      </c>
      <c r="AD22" s="18">
        <v>5</v>
      </c>
      <c r="AE22" s="19">
        <v>6</v>
      </c>
      <c r="AF22" s="18">
        <v>19</v>
      </c>
      <c r="AG22" s="19">
        <v>24</v>
      </c>
      <c r="AH22" s="18">
        <v>5</v>
      </c>
      <c r="AI22" s="19">
        <v>36</v>
      </c>
      <c r="AJ22" s="18">
        <v>18</v>
      </c>
      <c r="AK22" s="19">
        <v>41</v>
      </c>
      <c r="AL22" s="18">
        <v>6</v>
      </c>
      <c r="AM22" s="19">
        <v>6</v>
      </c>
      <c r="AN22" s="18">
        <v>17</v>
      </c>
      <c r="AO22" s="19">
        <v>51</v>
      </c>
      <c r="AP22" s="18">
        <v>6</v>
      </c>
      <c r="AQ22" s="19">
        <v>48</v>
      </c>
      <c r="AR22" s="18">
        <v>16</v>
      </c>
      <c r="AS22" s="19">
        <v>57</v>
      </c>
      <c r="AT22" s="18">
        <v>7</v>
      </c>
      <c r="AU22" s="19">
        <v>22</v>
      </c>
      <c r="AV22" s="18">
        <v>16</v>
      </c>
      <c r="AW22" s="19">
        <v>36</v>
      </c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</row>
    <row r="23" spans="1:68" ht="15" customHeight="1" thickBot="1" x14ac:dyDescent="0.3">
      <c r="A23" s="13" t="s">
        <v>702</v>
      </c>
      <c r="B23" s="16">
        <v>8</v>
      </c>
      <c r="C23" s="17">
        <v>6</v>
      </c>
      <c r="D23" s="16">
        <v>17</v>
      </c>
      <c r="E23" s="17">
        <v>0</v>
      </c>
      <c r="F23" s="16">
        <v>7</v>
      </c>
      <c r="G23" s="17">
        <v>43</v>
      </c>
      <c r="H23" s="16">
        <v>17</v>
      </c>
      <c r="I23" s="17">
        <v>44</v>
      </c>
      <c r="J23" s="16">
        <v>7</v>
      </c>
      <c r="K23" s="17">
        <v>0</v>
      </c>
      <c r="L23" s="16">
        <v>18</v>
      </c>
      <c r="M23" s="17">
        <v>22</v>
      </c>
      <c r="N23" s="16">
        <v>6</v>
      </c>
      <c r="O23" s="17">
        <v>9</v>
      </c>
      <c r="P23" s="16">
        <v>18</v>
      </c>
      <c r="Q23" s="17">
        <v>58</v>
      </c>
      <c r="R23" s="16">
        <v>5</v>
      </c>
      <c r="S23" s="17">
        <v>11</v>
      </c>
      <c r="T23" s="16">
        <v>19</v>
      </c>
      <c r="U23" s="17">
        <v>41</v>
      </c>
      <c r="V23" s="16">
        <v>4</v>
      </c>
      <c r="W23" s="17">
        <v>46</v>
      </c>
      <c r="X23" s="16">
        <v>20</v>
      </c>
      <c r="Y23" s="17">
        <v>9</v>
      </c>
      <c r="Z23" s="16">
        <v>4</v>
      </c>
      <c r="AA23" s="17">
        <v>49</v>
      </c>
      <c r="AB23" s="16">
        <v>20</v>
      </c>
      <c r="AC23" s="17">
        <v>17</v>
      </c>
      <c r="AD23" s="16">
        <v>5</v>
      </c>
      <c r="AE23" s="17">
        <v>21</v>
      </c>
      <c r="AF23" s="16">
        <v>19</v>
      </c>
      <c r="AG23" s="17">
        <v>48</v>
      </c>
      <c r="AH23" s="16">
        <v>5</v>
      </c>
      <c r="AI23" s="17">
        <v>54</v>
      </c>
      <c r="AJ23" s="16">
        <v>19</v>
      </c>
      <c r="AK23" s="17">
        <v>2</v>
      </c>
      <c r="AL23" s="16">
        <v>6</v>
      </c>
      <c r="AM23" s="17">
        <v>27</v>
      </c>
      <c r="AN23" s="16">
        <v>18</v>
      </c>
      <c r="AO23" s="17">
        <v>10</v>
      </c>
      <c r="AP23" s="16">
        <v>7</v>
      </c>
      <c r="AQ23" s="17">
        <v>12</v>
      </c>
      <c r="AR23" s="16">
        <v>17</v>
      </c>
      <c r="AS23" s="17">
        <v>13</v>
      </c>
      <c r="AT23" s="16">
        <v>7</v>
      </c>
      <c r="AU23" s="17">
        <v>48</v>
      </c>
      <c r="AV23" s="16">
        <v>16</v>
      </c>
      <c r="AW23" s="17">
        <v>50</v>
      </c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ht="15" customHeight="1" thickBot="1" x14ac:dyDescent="0.3">
      <c r="A24" s="13" t="s">
        <v>99</v>
      </c>
      <c r="B24" s="20">
        <v>7</v>
      </c>
      <c r="C24" s="21">
        <v>52</v>
      </c>
      <c r="D24" s="20">
        <v>16</v>
      </c>
      <c r="E24" s="21">
        <v>41</v>
      </c>
      <c r="F24" s="20">
        <v>7</v>
      </c>
      <c r="G24" s="21">
        <v>28</v>
      </c>
      <c r="H24" s="20">
        <v>17</v>
      </c>
      <c r="I24" s="21">
        <v>26</v>
      </c>
      <c r="J24" s="20">
        <v>6</v>
      </c>
      <c r="K24" s="21">
        <v>44</v>
      </c>
      <c r="L24" s="20">
        <v>18</v>
      </c>
      <c r="M24" s="21">
        <v>5</v>
      </c>
      <c r="N24" s="20">
        <v>5</v>
      </c>
      <c r="O24" s="21">
        <v>52</v>
      </c>
      <c r="P24" s="20">
        <v>18</v>
      </c>
      <c r="Q24" s="21">
        <v>42</v>
      </c>
      <c r="R24" s="20">
        <v>4</v>
      </c>
      <c r="S24" s="21">
        <v>53</v>
      </c>
      <c r="T24" s="20">
        <v>19</v>
      </c>
      <c r="U24" s="21">
        <v>26</v>
      </c>
      <c r="V24" s="20">
        <v>4</v>
      </c>
      <c r="W24" s="21">
        <v>27</v>
      </c>
      <c r="X24" s="20">
        <v>19</v>
      </c>
      <c r="Y24" s="21">
        <v>55</v>
      </c>
      <c r="Z24" s="20">
        <v>4</v>
      </c>
      <c r="AA24" s="21">
        <v>30</v>
      </c>
      <c r="AB24" s="20">
        <v>20</v>
      </c>
      <c r="AC24" s="21">
        <v>4</v>
      </c>
      <c r="AD24" s="20">
        <v>5</v>
      </c>
      <c r="AE24" s="21">
        <v>3</v>
      </c>
      <c r="AF24" s="20">
        <v>19</v>
      </c>
      <c r="AG24" s="21">
        <v>33</v>
      </c>
      <c r="AH24" s="20">
        <v>5</v>
      </c>
      <c r="AI24" s="21">
        <v>37</v>
      </c>
      <c r="AJ24" s="20">
        <v>18</v>
      </c>
      <c r="AK24" s="21">
        <v>47</v>
      </c>
      <c r="AL24" s="20">
        <v>6</v>
      </c>
      <c r="AM24" s="21">
        <v>11</v>
      </c>
      <c r="AN24" s="20">
        <v>17</v>
      </c>
      <c r="AO24" s="21">
        <v>53</v>
      </c>
      <c r="AP24" s="20">
        <v>6</v>
      </c>
      <c r="AQ24" s="21">
        <v>57</v>
      </c>
      <c r="AR24" s="20">
        <v>16</v>
      </c>
      <c r="AS24" s="21">
        <v>55</v>
      </c>
      <c r="AT24" s="20">
        <v>7</v>
      </c>
      <c r="AU24" s="21">
        <v>34</v>
      </c>
      <c r="AV24" s="20">
        <v>16</v>
      </c>
      <c r="AW24" s="21">
        <v>31</v>
      </c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1:68" ht="15" customHeight="1" x14ac:dyDescent="0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</row>
    <row r="26" spans="1:68" ht="15" customHeight="1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1:68" ht="15" customHeight="1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</row>
    <row r="28" spans="1:68" ht="15" customHeight="1" x14ac:dyDescent="0.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</row>
    <row r="29" spans="1:68" ht="15" customHeight="1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</row>
    <row r="30" spans="1:68" ht="15" customHeight="1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</row>
    <row r="31" spans="1:68" ht="15" customHeight="1" x14ac:dyDescent="0.25">
      <c r="A31" s="8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1:68" ht="15" customHeight="1" x14ac:dyDescent="0.25">
      <c r="A32" s="8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 ht="15" customHeight="1" x14ac:dyDescent="0.25">
      <c r="A33" s="8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1:68" ht="15" customHeight="1" x14ac:dyDescent="0.25">
      <c r="A34" s="8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</row>
    <row r="35" spans="1:68" ht="15" customHeight="1" x14ac:dyDescent="0.25">
      <c r="A35" s="8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ht="15" customHeight="1" x14ac:dyDescent="0.25">
      <c r="A36" s="8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 spans="1:68" ht="15" customHeight="1" x14ac:dyDescent="0.25">
      <c r="A37" s="8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 ht="15" customHeight="1" x14ac:dyDescent="0.25">
      <c r="A38" s="8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 spans="1:68" ht="15" customHeight="1" x14ac:dyDescent="0.25">
      <c r="A39" s="8"/>
      <c r="B39" s="4"/>
      <c r="C39" s="4"/>
      <c r="D39" s="4"/>
      <c r="E39" s="4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 ht="15" customHeight="1" x14ac:dyDescent="0.25">
      <c r="A40" s="8"/>
      <c r="B40" s="4"/>
      <c r="C40" s="4"/>
      <c r="D40" s="4"/>
      <c r="E40" s="4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1:68" ht="15" customHeight="1" x14ac:dyDescent="0.25">
      <c r="A41" s="8"/>
      <c r="B41" s="4"/>
      <c r="C41" s="4"/>
      <c r="D41" s="4"/>
      <c r="E41" s="4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ht="15" customHeight="1" x14ac:dyDescent="0.25">
      <c r="A42" s="8"/>
      <c r="B42" s="4"/>
      <c r="C42" s="4"/>
      <c r="D42" s="4"/>
      <c r="E42" s="4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 spans="1:68" ht="15" customHeight="1" x14ac:dyDescent="0.25">
      <c r="A43" s="8"/>
      <c r="B43" s="4"/>
      <c r="C43" s="4"/>
      <c r="D43" s="4"/>
      <c r="E43" s="4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 ht="15" customHeight="1" x14ac:dyDescent="0.25">
      <c r="A44" s="8"/>
      <c r="B44" s="4"/>
      <c r="C44" s="4"/>
      <c r="D44" s="4"/>
      <c r="E44" s="4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 ht="15" customHeight="1" x14ac:dyDescent="0.25">
      <c r="A45" s="8"/>
      <c r="B45" s="4"/>
      <c r="C45" s="4"/>
      <c r="D45" s="4"/>
      <c r="E45" s="4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ht="15" customHeight="1" x14ac:dyDescent="0.25">
      <c r="A46" s="8"/>
      <c r="B46" s="4"/>
      <c r="C46" s="4"/>
      <c r="D46" s="4"/>
      <c r="E46" s="4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1:68" ht="15" customHeight="1" x14ac:dyDescent="0.25">
      <c r="A47" s="8"/>
      <c r="B47" s="4"/>
      <c r="C47" s="4"/>
      <c r="D47" s="4"/>
      <c r="E47" s="4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 spans="1:68" ht="15" customHeight="1" x14ac:dyDescent="0.25">
      <c r="A48" s="8"/>
      <c r="B48" s="4"/>
      <c r="C48" s="4"/>
      <c r="D48" s="4"/>
      <c r="E48" s="4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 spans="1:68" ht="15" customHeight="1" x14ac:dyDescent="0.25">
      <c r="A49" s="8"/>
      <c r="B49" s="4"/>
      <c r="C49" s="4"/>
      <c r="D49" s="4"/>
      <c r="E49" s="4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 spans="1:68" ht="15" customHeight="1" x14ac:dyDescent="0.25">
      <c r="A50" s="8"/>
      <c r="B50" s="4"/>
      <c r="C50" s="4"/>
      <c r="D50" s="4"/>
      <c r="E50" s="4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 spans="1:68" ht="15" customHeight="1" x14ac:dyDescent="0.25">
      <c r="A51" s="8"/>
      <c r="B51" s="4"/>
      <c r="C51" s="4"/>
      <c r="D51" s="4"/>
      <c r="E51" s="4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 x14ac:dyDescent="0.25">
      <c r="A52" s="8"/>
      <c r="B52" s="4"/>
      <c r="C52" s="4"/>
      <c r="D52" s="4"/>
      <c r="E52" s="4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 x14ac:dyDescent="0.25">
      <c r="A53" s="8"/>
      <c r="B53" s="4"/>
      <c r="C53" s="4"/>
      <c r="D53" s="4"/>
      <c r="E53" s="4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</row>
    <row r="54" spans="1:68" x14ac:dyDescent="0.25">
      <c r="A54" s="8"/>
      <c r="B54" s="4"/>
      <c r="C54" s="4"/>
      <c r="D54" s="4"/>
      <c r="E54" s="4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x14ac:dyDescent="0.25">
      <c r="A55" s="8"/>
      <c r="B55" s="4"/>
      <c r="C55" s="4"/>
      <c r="D55" s="4"/>
      <c r="E55" s="4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</row>
    <row r="56" spans="1:68" x14ac:dyDescent="0.25">
      <c r="A56" s="8"/>
      <c r="B56" s="4"/>
      <c r="C56" s="4"/>
      <c r="D56" s="4"/>
      <c r="E56" s="4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x14ac:dyDescent="0.25">
      <c r="A57" s="8"/>
      <c r="B57" s="4"/>
      <c r="C57" s="4"/>
      <c r="D57" s="4"/>
      <c r="E57" s="4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1:68" x14ac:dyDescent="0.25">
      <c r="A58" s="8"/>
      <c r="B58" s="4"/>
      <c r="C58" s="4"/>
      <c r="D58" s="4"/>
      <c r="E58" s="4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x14ac:dyDescent="0.25">
      <c r="A59" s="8"/>
      <c r="B59" s="4"/>
      <c r="C59" s="4"/>
      <c r="D59" s="4"/>
      <c r="E59" s="4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x14ac:dyDescent="0.25">
      <c r="A60" s="8"/>
      <c r="B60" s="4"/>
      <c r="C60" s="4"/>
      <c r="D60" s="4"/>
      <c r="E60" s="4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x14ac:dyDescent="0.25">
      <c r="A61" s="8"/>
      <c r="B61" s="4"/>
      <c r="C61" s="4"/>
      <c r="D61" s="4"/>
      <c r="E61" s="4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x14ac:dyDescent="0.25">
      <c r="A62" s="8"/>
      <c r="B62" s="4"/>
      <c r="C62" s="4"/>
      <c r="D62" s="4"/>
      <c r="E62" s="4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x14ac:dyDescent="0.25">
      <c r="A63" s="8"/>
      <c r="B63" s="4"/>
      <c r="C63" s="4"/>
      <c r="D63" s="4"/>
      <c r="E63" s="4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x14ac:dyDescent="0.25">
      <c r="A64" s="8"/>
      <c r="B64" s="4"/>
      <c r="C64" s="4"/>
      <c r="D64" s="4"/>
      <c r="E64" s="4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 x14ac:dyDescent="0.25">
      <c r="A65" s="8"/>
      <c r="B65" s="4"/>
      <c r="C65" s="4"/>
      <c r="D65" s="4"/>
      <c r="E65" s="4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x14ac:dyDescent="0.25">
      <c r="A66" s="8"/>
      <c r="B66" s="4"/>
      <c r="C66" s="4"/>
      <c r="D66" s="4"/>
      <c r="E66" s="4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x14ac:dyDescent="0.25">
      <c r="A67" s="8"/>
      <c r="B67" s="4"/>
      <c r="C67" s="4"/>
      <c r="D67" s="4"/>
      <c r="E67" s="4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 x14ac:dyDescent="0.25">
      <c r="A68" s="8"/>
      <c r="B68" s="4"/>
      <c r="C68" s="4"/>
      <c r="D68" s="4"/>
      <c r="E68" s="4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x14ac:dyDescent="0.25">
      <c r="A69" s="8"/>
      <c r="B69" s="4"/>
      <c r="C69" s="4"/>
      <c r="D69" s="4"/>
      <c r="E69" s="4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x14ac:dyDescent="0.25">
      <c r="A70" s="8"/>
      <c r="B70" s="4"/>
      <c r="C70" s="4"/>
      <c r="D70" s="4"/>
      <c r="E70" s="4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x14ac:dyDescent="0.25">
      <c r="A71" s="8"/>
      <c r="B71" s="4"/>
      <c r="C71" s="4"/>
      <c r="D71" s="4"/>
      <c r="E71" s="4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x14ac:dyDescent="0.25">
      <c r="A72" s="8"/>
      <c r="B72" s="4"/>
      <c r="C72" s="4"/>
      <c r="D72" s="4"/>
      <c r="E72" s="4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x14ac:dyDescent="0.25">
      <c r="A73" s="8"/>
      <c r="B73" s="4"/>
      <c r="C73" s="4"/>
      <c r="D73" s="4"/>
      <c r="E73" s="4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x14ac:dyDescent="0.25">
      <c r="A74" s="8"/>
      <c r="B74" s="4"/>
      <c r="C74" s="4"/>
      <c r="D74" s="4"/>
      <c r="E74" s="4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x14ac:dyDescent="0.25">
      <c r="A75" s="8"/>
      <c r="B75" s="4"/>
      <c r="C75" s="4"/>
      <c r="D75" s="4"/>
      <c r="E75" s="4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x14ac:dyDescent="0.25">
      <c r="A76" s="8"/>
      <c r="B76" s="4"/>
      <c r="C76" s="4"/>
      <c r="D76" s="4"/>
      <c r="E76" s="4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 x14ac:dyDescent="0.25">
      <c r="A77" s="8"/>
      <c r="B77" s="4"/>
      <c r="C77" s="4"/>
      <c r="D77" s="4"/>
      <c r="E77" s="4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8" x14ac:dyDescent="0.25">
      <c r="A78" s="8"/>
      <c r="B78" s="4"/>
      <c r="C78" s="4"/>
      <c r="D78" s="4"/>
      <c r="E78" s="4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x14ac:dyDescent="0.25">
      <c r="A79" s="8"/>
      <c r="B79" s="4"/>
      <c r="C79" s="4"/>
      <c r="D79" s="4"/>
      <c r="E79" s="4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x14ac:dyDescent="0.25">
      <c r="A80" s="8"/>
      <c r="B80" s="4"/>
      <c r="C80" s="4"/>
      <c r="D80" s="4"/>
      <c r="E80" s="4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x14ac:dyDescent="0.25">
      <c r="A81" s="8"/>
      <c r="B81" s="4"/>
      <c r="C81" s="4"/>
      <c r="D81" s="4"/>
      <c r="E81" s="4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x14ac:dyDescent="0.25">
      <c r="A82" s="8"/>
      <c r="B82" s="4"/>
      <c r="C82" s="4"/>
      <c r="D82" s="4"/>
      <c r="E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x14ac:dyDescent="0.25">
      <c r="A83" s="8"/>
      <c r="B83" s="4"/>
      <c r="C83" s="4"/>
      <c r="D83" s="4"/>
      <c r="E83" s="4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x14ac:dyDescent="0.25">
      <c r="A84" s="8"/>
      <c r="B84" s="4"/>
      <c r="C84" s="4"/>
      <c r="D84" s="4"/>
      <c r="E84" s="4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x14ac:dyDescent="0.25">
      <c r="A85" s="8"/>
      <c r="B85" s="4"/>
      <c r="C85" s="4"/>
      <c r="D85" s="4"/>
      <c r="E85" s="4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x14ac:dyDescent="0.25">
      <c r="A86" s="8"/>
      <c r="B86" s="4"/>
      <c r="C86" s="4"/>
      <c r="D86" s="4"/>
      <c r="E86" s="4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x14ac:dyDescent="0.25">
      <c r="A87" s="8"/>
      <c r="B87" s="4"/>
      <c r="C87" s="4"/>
      <c r="D87" s="4"/>
      <c r="E87" s="4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x14ac:dyDescent="0.25">
      <c r="A88" s="8"/>
      <c r="B88" s="4"/>
      <c r="C88" s="4"/>
      <c r="D88" s="4"/>
      <c r="E88" s="4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 x14ac:dyDescent="0.25">
      <c r="A89" s="8"/>
      <c r="B89" s="4"/>
      <c r="C89" s="4"/>
      <c r="D89" s="4"/>
      <c r="E89" s="4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x14ac:dyDescent="0.25">
      <c r="A90" s="8"/>
      <c r="B90" s="4"/>
      <c r="C90" s="4"/>
      <c r="D90" s="4"/>
      <c r="E90" s="4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 x14ac:dyDescent="0.25">
      <c r="A91" s="8"/>
      <c r="B91" s="4"/>
      <c r="C91" s="4"/>
      <c r="D91" s="4"/>
      <c r="E91" s="4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 x14ac:dyDescent="0.25">
      <c r="A92" s="8"/>
      <c r="B92" s="4"/>
      <c r="C92" s="4"/>
      <c r="D92" s="4"/>
      <c r="E92" s="4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 x14ac:dyDescent="0.25">
      <c r="A93" s="8"/>
      <c r="B93" s="4"/>
      <c r="C93" s="4"/>
      <c r="D93" s="4"/>
      <c r="E93" s="4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 x14ac:dyDescent="0.25">
      <c r="A94" s="8"/>
      <c r="B94" s="4"/>
      <c r="C94" s="4"/>
      <c r="D94" s="4"/>
      <c r="E94" s="4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 x14ac:dyDescent="0.25">
      <c r="A95" s="8"/>
      <c r="B95" s="4"/>
      <c r="C95" s="4"/>
      <c r="D95" s="4"/>
      <c r="E95" s="4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 x14ac:dyDescent="0.25">
      <c r="A96" s="8"/>
      <c r="B96" s="4"/>
      <c r="C96" s="4"/>
      <c r="D96" s="4"/>
      <c r="E96" s="4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 x14ac:dyDescent="0.25">
      <c r="A97" s="8"/>
      <c r="B97" s="4"/>
      <c r="C97" s="4"/>
      <c r="D97" s="4"/>
      <c r="E97" s="4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</row>
    <row r="98" spans="1:68" x14ac:dyDescent="0.25">
      <c r="A98" s="8"/>
      <c r="B98" s="4"/>
      <c r="C98" s="4"/>
      <c r="D98" s="4"/>
      <c r="E98" s="4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</row>
    <row r="99" spans="1:68" x14ac:dyDescent="0.25">
      <c r="A99" s="8"/>
      <c r="B99" s="4"/>
      <c r="C99" s="4"/>
      <c r="D99" s="4"/>
      <c r="E99" s="4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</row>
    <row r="100" spans="1:68" x14ac:dyDescent="0.25">
      <c r="A100" s="8"/>
      <c r="B100" s="4"/>
      <c r="C100" s="4"/>
      <c r="D100" s="4"/>
      <c r="E100" s="4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</row>
    <row r="101" spans="1:68" x14ac:dyDescent="0.25">
      <c r="A101" s="8"/>
      <c r="B101" s="4"/>
      <c r="C101" s="4"/>
      <c r="D101" s="4"/>
      <c r="E101" s="4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</row>
    <row r="102" spans="1:68" x14ac:dyDescent="0.25">
      <c r="A102" s="8"/>
      <c r="B102" s="4"/>
      <c r="C102" s="4"/>
      <c r="D102" s="4"/>
      <c r="E102" s="4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</row>
    <row r="103" spans="1:68" x14ac:dyDescent="0.25">
      <c r="A103" s="8"/>
      <c r="B103" s="4"/>
      <c r="C103" s="4"/>
      <c r="D103" s="4"/>
      <c r="E103" s="4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</row>
    <row r="104" spans="1:68" x14ac:dyDescent="0.25">
      <c r="A104" s="8"/>
      <c r="B104" s="4"/>
      <c r="C104" s="4"/>
      <c r="D104" s="4"/>
      <c r="E104" s="4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1:68" x14ac:dyDescent="0.25">
      <c r="A105" s="8"/>
      <c r="B105" s="4"/>
      <c r="C105" s="4"/>
      <c r="D105" s="4"/>
      <c r="E105" s="4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</row>
    <row r="106" spans="1:68" x14ac:dyDescent="0.25">
      <c r="A106" s="8"/>
      <c r="B106" s="4"/>
      <c r="C106" s="4"/>
      <c r="D106" s="4"/>
      <c r="E106" s="4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</row>
    <row r="107" spans="1:68" x14ac:dyDescent="0.25">
      <c r="A107" s="8"/>
      <c r="B107" s="4"/>
      <c r="C107" s="4"/>
      <c r="D107" s="4"/>
      <c r="E107" s="4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</row>
    <row r="108" spans="1:68" x14ac:dyDescent="0.25">
      <c r="A108" s="8"/>
      <c r="B108" s="4"/>
      <c r="C108" s="4"/>
      <c r="D108" s="4"/>
      <c r="E108" s="4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</row>
    <row r="109" spans="1:68" x14ac:dyDescent="0.25">
      <c r="A109" s="8"/>
      <c r="B109" s="4"/>
      <c r="C109" s="4"/>
      <c r="D109" s="4"/>
      <c r="E109" s="4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</row>
    <row r="110" spans="1:68" x14ac:dyDescent="0.25">
      <c r="A110" s="8"/>
      <c r="B110" s="4"/>
      <c r="C110" s="4"/>
      <c r="D110" s="4"/>
      <c r="E110" s="4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</row>
    <row r="111" spans="1:68" x14ac:dyDescent="0.25">
      <c r="A111" s="8"/>
      <c r="B111" s="4"/>
      <c r="C111" s="4"/>
      <c r="D111" s="4"/>
      <c r="E111" s="4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</row>
    <row r="112" spans="1:68" x14ac:dyDescent="0.25">
      <c r="A112" s="8"/>
      <c r="B112" s="4"/>
      <c r="C112" s="4"/>
      <c r="D112" s="4"/>
      <c r="E112" s="4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</row>
    <row r="113" spans="1:68" x14ac:dyDescent="0.25">
      <c r="A113" s="8"/>
      <c r="B113" s="4"/>
      <c r="C113" s="4"/>
      <c r="D113" s="4"/>
      <c r="E113" s="4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</row>
    <row r="114" spans="1:68" x14ac:dyDescent="0.25">
      <c r="A114" s="8"/>
      <c r="B114" s="4"/>
      <c r="C114" s="4"/>
      <c r="D114" s="4"/>
      <c r="E114" s="4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</row>
    <row r="115" spans="1:68" x14ac:dyDescent="0.25">
      <c r="A115" s="8"/>
      <c r="B115" s="4"/>
      <c r="C115" s="4"/>
      <c r="D115" s="4"/>
      <c r="E115" s="4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</row>
    <row r="116" spans="1:68" x14ac:dyDescent="0.25">
      <c r="A116" s="8"/>
      <c r="B116" s="4"/>
      <c r="C116" s="4"/>
      <c r="D116" s="4"/>
      <c r="E116" s="4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</row>
    <row r="117" spans="1:68" x14ac:dyDescent="0.25">
      <c r="A117" s="8"/>
      <c r="B117" s="4"/>
      <c r="C117" s="4"/>
      <c r="D117" s="4"/>
      <c r="E117" s="4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</row>
    <row r="118" spans="1:68" x14ac:dyDescent="0.25">
      <c r="A118" s="8"/>
      <c r="B118" s="4"/>
      <c r="C118" s="4"/>
      <c r="D118" s="4"/>
      <c r="E118" s="4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</row>
    <row r="119" spans="1:68" x14ac:dyDescent="0.25">
      <c r="A119" s="8"/>
      <c r="B119" s="4"/>
      <c r="C119" s="4"/>
      <c r="D119" s="4"/>
      <c r="E119" s="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</row>
    <row r="120" spans="1:68" x14ac:dyDescent="0.25">
      <c r="A120" s="8"/>
      <c r="B120" s="4"/>
      <c r="C120" s="4"/>
      <c r="D120" s="4"/>
      <c r="E120" s="4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</row>
    <row r="121" spans="1:68" x14ac:dyDescent="0.25">
      <c r="A121" s="8"/>
      <c r="B121" s="4"/>
      <c r="C121" s="4"/>
      <c r="D121" s="4"/>
      <c r="E121" s="4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</row>
    <row r="122" spans="1:68" x14ac:dyDescent="0.25">
      <c r="A122" s="8"/>
      <c r="B122" s="4"/>
      <c r="C122" s="4"/>
      <c r="D122" s="4"/>
      <c r="E122" s="4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</row>
    <row r="123" spans="1:68" x14ac:dyDescent="0.25">
      <c r="A123" s="8"/>
      <c r="B123" s="4"/>
      <c r="C123" s="4"/>
      <c r="D123" s="4"/>
      <c r="E123" s="4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</row>
    <row r="124" spans="1:68" x14ac:dyDescent="0.25">
      <c r="A124" s="8"/>
      <c r="B124" s="4"/>
      <c r="C124" s="4"/>
      <c r="D124" s="4"/>
      <c r="E124" s="4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</row>
    <row r="125" spans="1:68" x14ac:dyDescent="0.25">
      <c r="A125" s="8"/>
      <c r="B125" s="4"/>
      <c r="C125" s="4"/>
      <c r="D125" s="4"/>
      <c r="E125" s="4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</row>
    <row r="126" spans="1:68" x14ac:dyDescent="0.25">
      <c r="A126" s="8"/>
      <c r="B126" s="4"/>
      <c r="C126" s="4"/>
      <c r="D126" s="4"/>
      <c r="E126" s="4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x14ac:dyDescent="0.25">
      <c r="A127" s="8"/>
      <c r="B127" s="4"/>
      <c r="C127" s="4"/>
      <c r="D127" s="4"/>
      <c r="E127" s="4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x14ac:dyDescent="0.25">
      <c r="A128" s="8"/>
      <c r="B128" s="4"/>
      <c r="C128" s="4"/>
      <c r="D128" s="4"/>
      <c r="E128" s="4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x14ac:dyDescent="0.25">
      <c r="A129" s="8"/>
      <c r="B129" s="4"/>
      <c r="C129" s="4"/>
      <c r="D129" s="4"/>
      <c r="E129" s="4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x14ac:dyDescent="0.25">
      <c r="A130" s="8"/>
      <c r="B130" s="4"/>
      <c r="C130" s="4"/>
      <c r="D130" s="4"/>
      <c r="E130" s="4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 x14ac:dyDescent="0.25">
      <c r="A131" s="8"/>
      <c r="B131" s="4"/>
      <c r="C131" s="4"/>
      <c r="D131" s="4"/>
      <c r="E131" s="4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 x14ac:dyDescent="0.25">
      <c r="A132" s="8"/>
      <c r="B132" s="4"/>
      <c r="C132" s="4"/>
      <c r="D132" s="4"/>
      <c r="E132" s="4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 x14ac:dyDescent="0.25">
      <c r="A133" s="8"/>
      <c r="B133" s="4"/>
      <c r="C133" s="4"/>
      <c r="D133" s="4"/>
      <c r="E133" s="4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x14ac:dyDescent="0.25">
      <c r="A134" s="8"/>
      <c r="B134" s="4"/>
      <c r="C134" s="4"/>
      <c r="D134" s="4"/>
      <c r="E134" s="4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 x14ac:dyDescent="0.25">
      <c r="A135" s="8"/>
      <c r="B135" s="4"/>
      <c r="C135" s="4"/>
      <c r="D135" s="4"/>
      <c r="E135" s="4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 x14ac:dyDescent="0.25">
      <c r="A136" s="8"/>
      <c r="B136" s="4"/>
      <c r="C136" s="4"/>
      <c r="D136" s="4"/>
      <c r="E136" s="4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x14ac:dyDescent="0.25">
      <c r="A137" s="8"/>
      <c r="B137" s="4"/>
      <c r="C137" s="4"/>
      <c r="D137" s="4"/>
      <c r="E137" s="4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x14ac:dyDescent="0.25">
      <c r="A138" s="8"/>
      <c r="B138" s="4"/>
      <c r="C138" s="4"/>
      <c r="D138" s="4"/>
      <c r="E138" s="4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x14ac:dyDescent="0.25">
      <c r="A139" s="8"/>
      <c r="B139" s="4"/>
      <c r="C139" s="4"/>
      <c r="D139" s="4"/>
      <c r="E139" s="4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x14ac:dyDescent="0.25">
      <c r="A140" s="8"/>
      <c r="B140" s="4"/>
      <c r="C140" s="4"/>
      <c r="D140" s="4"/>
      <c r="E140" s="4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</row>
    <row r="141" spans="1:68" x14ac:dyDescent="0.25">
      <c r="A141" s="8"/>
      <c r="B141" s="4"/>
      <c r="C141" s="4"/>
      <c r="D141" s="4"/>
      <c r="E141" s="4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</row>
    <row r="142" spans="1:68" x14ac:dyDescent="0.25">
      <c r="A142" s="8"/>
      <c r="B142" s="4"/>
      <c r="C142" s="4"/>
      <c r="D142" s="4"/>
      <c r="E142" s="4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</row>
    <row r="143" spans="1:68" x14ac:dyDescent="0.25">
      <c r="A143" s="8"/>
      <c r="B143" s="4"/>
      <c r="C143" s="4"/>
      <c r="D143" s="4"/>
      <c r="E143" s="4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</row>
    <row r="144" spans="1:68" x14ac:dyDescent="0.25">
      <c r="A144" s="8"/>
      <c r="B144" s="4"/>
      <c r="C144" s="4"/>
      <c r="D144" s="4"/>
      <c r="E144" s="4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</row>
    <row r="145" spans="1:68" x14ac:dyDescent="0.25">
      <c r="A145" s="8"/>
      <c r="B145" s="4"/>
      <c r="C145" s="4"/>
      <c r="D145" s="4"/>
      <c r="E145" s="4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</row>
    <row r="146" spans="1:68" x14ac:dyDescent="0.25">
      <c r="A146" s="8"/>
      <c r="B146" s="4"/>
      <c r="C146" s="4"/>
      <c r="D146" s="4"/>
      <c r="E146" s="4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</row>
    <row r="147" spans="1:68" x14ac:dyDescent="0.25">
      <c r="A147" s="8"/>
      <c r="B147" s="4"/>
      <c r="C147" s="4"/>
      <c r="D147" s="4"/>
      <c r="E147" s="4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</row>
    <row r="148" spans="1:68" x14ac:dyDescent="0.25">
      <c r="A148" s="8"/>
      <c r="B148" s="4"/>
      <c r="C148" s="4"/>
      <c r="D148" s="4"/>
      <c r="E148" s="4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</row>
    <row r="149" spans="1:68" x14ac:dyDescent="0.25">
      <c r="A149" s="8"/>
      <c r="B149" s="4"/>
      <c r="C149" s="4"/>
      <c r="D149" s="4"/>
      <c r="E149" s="4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</row>
    <row r="150" spans="1:68" x14ac:dyDescent="0.25">
      <c r="A150" s="8"/>
      <c r="B150" s="4"/>
      <c r="C150" s="4"/>
      <c r="D150" s="4"/>
      <c r="E150" s="4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</row>
    <row r="151" spans="1:68" x14ac:dyDescent="0.25">
      <c r="A151" s="8"/>
      <c r="B151" s="4"/>
      <c r="C151" s="4"/>
      <c r="D151" s="4"/>
      <c r="E151" s="4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</row>
    <row r="152" spans="1:68" x14ac:dyDescent="0.25">
      <c r="A152" s="8"/>
      <c r="B152" s="4"/>
      <c r="C152" s="4"/>
      <c r="D152" s="4"/>
      <c r="E152" s="4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</row>
    <row r="153" spans="1:68" x14ac:dyDescent="0.25">
      <c r="A153" s="8"/>
      <c r="B153" s="4"/>
      <c r="C153" s="4"/>
      <c r="D153" s="4"/>
      <c r="E153" s="4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</row>
    <row r="154" spans="1:68" x14ac:dyDescent="0.25">
      <c r="A154" s="8"/>
      <c r="B154" s="4"/>
      <c r="C154" s="4"/>
      <c r="D154" s="4"/>
      <c r="E154" s="4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</row>
    <row r="155" spans="1:68" x14ac:dyDescent="0.25">
      <c r="A155" s="8"/>
      <c r="B155" s="4"/>
      <c r="C155" s="4"/>
      <c r="D155" s="4"/>
      <c r="E155" s="4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</row>
    <row r="156" spans="1:68" x14ac:dyDescent="0.25">
      <c r="A156" s="8"/>
      <c r="B156" s="4"/>
      <c r="C156" s="4"/>
      <c r="D156" s="4"/>
      <c r="E156" s="4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</row>
    <row r="157" spans="1:68" x14ac:dyDescent="0.25">
      <c r="A157" s="8"/>
      <c r="B157" s="4"/>
      <c r="C157" s="4"/>
      <c r="D157" s="4"/>
      <c r="E157" s="4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</row>
    <row r="158" spans="1:68" x14ac:dyDescent="0.25">
      <c r="A158" s="8"/>
      <c r="B158" s="4"/>
      <c r="C158" s="4"/>
      <c r="D158" s="4"/>
      <c r="E158" s="4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</row>
    <row r="159" spans="1:68" x14ac:dyDescent="0.25">
      <c r="A159" s="8"/>
      <c r="B159" s="4"/>
      <c r="C159" s="4"/>
      <c r="D159" s="4"/>
      <c r="E159" s="4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</row>
    <row r="160" spans="1:68" x14ac:dyDescent="0.25">
      <c r="A160" s="8"/>
      <c r="B160" s="4"/>
      <c r="C160" s="4"/>
      <c r="D160" s="4"/>
      <c r="E160" s="4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</row>
    <row r="161" spans="1:68" x14ac:dyDescent="0.25">
      <c r="A161" s="8"/>
      <c r="B161" s="4"/>
      <c r="C161" s="4"/>
      <c r="D161" s="4"/>
      <c r="E161" s="4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</row>
    <row r="162" spans="1:68" x14ac:dyDescent="0.25">
      <c r="A162" s="8"/>
      <c r="B162" s="4"/>
      <c r="C162" s="4"/>
      <c r="D162" s="4"/>
      <c r="E162" s="4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</row>
    <row r="163" spans="1:68" x14ac:dyDescent="0.25">
      <c r="A163" s="8"/>
      <c r="B163" s="4"/>
      <c r="C163" s="4"/>
      <c r="D163" s="4"/>
      <c r="E163" s="4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</row>
    <row r="164" spans="1:68" x14ac:dyDescent="0.25">
      <c r="A164" s="8"/>
      <c r="B164" s="4"/>
      <c r="C164" s="4"/>
      <c r="D164" s="4"/>
      <c r="E164" s="4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</row>
    <row r="165" spans="1:68" x14ac:dyDescent="0.25">
      <c r="A165" s="8"/>
      <c r="B165" s="4"/>
      <c r="C165" s="4"/>
      <c r="D165" s="4"/>
      <c r="E165" s="4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</row>
    <row r="166" spans="1:68" x14ac:dyDescent="0.25">
      <c r="A166" s="8"/>
      <c r="B166" s="4"/>
      <c r="C166" s="4"/>
      <c r="D166" s="4"/>
      <c r="E166" s="4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</row>
    <row r="167" spans="1:68" x14ac:dyDescent="0.25">
      <c r="A167" s="8"/>
      <c r="B167" s="4"/>
      <c r="C167" s="4"/>
      <c r="D167" s="4"/>
      <c r="E167" s="4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</row>
    <row r="168" spans="1:68" x14ac:dyDescent="0.25">
      <c r="A168" s="8"/>
      <c r="B168" s="4"/>
      <c r="C168" s="4"/>
      <c r="D168" s="4"/>
      <c r="E168" s="4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</row>
    <row r="169" spans="1:68" x14ac:dyDescent="0.25">
      <c r="A169" s="8"/>
      <c r="B169" s="4"/>
      <c r="C169" s="4"/>
      <c r="D169" s="4"/>
      <c r="E169" s="4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</row>
    <row r="170" spans="1:68" x14ac:dyDescent="0.25">
      <c r="A170" s="8"/>
      <c r="B170" s="4"/>
      <c r="C170" s="4"/>
      <c r="D170" s="4"/>
      <c r="E170" s="4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</row>
    <row r="171" spans="1:68" x14ac:dyDescent="0.25">
      <c r="A171" s="8"/>
      <c r="B171" s="4"/>
      <c r="C171" s="4"/>
      <c r="D171" s="4"/>
      <c r="E171" s="4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</row>
    <row r="172" spans="1:68" x14ac:dyDescent="0.25">
      <c r="A172" s="8"/>
      <c r="B172" s="4"/>
      <c r="C172" s="4"/>
      <c r="D172" s="4"/>
      <c r="E172" s="4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</row>
    <row r="173" spans="1:68" x14ac:dyDescent="0.25">
      <c r="A173" s="8"/>
      <c r="B173" s="4"/>
      <c r="C173" s="4"/>
      <c r="D173" s="4"/>
      <c r="E173" s="4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</row>
    <row r="174" spans="1:68" x14ac:dyDescent="0.25">
      <c r="A174" s="8"/>
      <c r="B174" s="4"/>
      <c r="C174" s="4"/>
      <c r="D174" s="4"/>
      <c r="E174" s="4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</row>
    <row r="175" spans="1:68" x14ac:dyDescent="0.25">
      <c r="A175" s="8"/>
      <c r="B175" s="4"/>
      <c r="C175" s="4"/>
      <c r="D175" s="4"/>
      <c r="E175" s="4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</row>
    <row r="176" spans="1:68" x14ac:dyDescent="0.25">
      <c r="A176" s="8"/>
      <c r="B176" s="4"/>
      <c r="C176" s="4"/>
      <c r="D176" s="4"/>
      <c r="E176" s="4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</row>
    <row r="177" spans="1:68" x14ac:dyDescent="0.25">
      <c r="A177" s="8"/>
      <c r="B177" s="4"/>
      <c r="C177" s="4"/>
      <c r="D177" s="4"/>
      <c r="E177" s="4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</row>
    <row r="178" spans="1:68" x14ac:dyDescent="0.25">
      <c r="A178" s="8"/>
      <c r="B178" s="4"/>
      <c r="C178" s="4"/>
      <c r="D178" s="4"/>
      <c r="E178" s="4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</row>
    <row r="179" spans="1:68" x14ac:dyDescent="0.25">
      <c r="A179" s="8"/>
      <c r="B179" s="4"/>
      <c r="C179" s="4"/>
      <c r="D179" s="4"/>
      <c r="E179" s="4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</row>
    <row r="180" spans="1:68" x14ac:dyDescent="0.25">
      <c r="A180" s="8"/>
      <c r="B180" s="4"/>
      <c r="C180" s="4"/>
      <c r="D180" s="4"/>
      <c r="E180" s="4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</row>
    <row r="181" spans="1:68" x14ac:dyDescent="0.25">
      <c r="A181" s="8"/>
      <c r="B181" s="4"/>
      <c r="C181" s="4"/>
      <c r="D181" s="4"/>
      <c r="E181" s="4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</row>
    <row r="182" spans="1:68" x14ac:dyDescent="0.25">
      <c r="A182" s="8"/>
      <c r="B182" s="4"/>
      <c r="C182" s="4"/>
      <c r="D182" s="4"/>
      <c r="E182" s="4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</row>
    <row r="183" spans="1:68" x14ac:dyDescent="0.25">
      <c r="A183" s="8"/>
      <c r="B183" s="4"/>
      <c r="C183" s="4"/>
      <c r="D183" s="4"/>
      <c r="E183" s="4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</row>
    <row r="184" spans="1:68" x14ac:dyDescent="0.25">
      <c r="A184" s="8"/>
      <c r="B184" s="4"/>
      <c r="C184" s="4"/>
      <c r="D184" s="4"/>
      <c r="E184" s="4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</row>
    <row r="185" spans="1:68" x14ac:dyDescent="0.25">
      <c r="A185" s="8"/>
      <c r="B185" s="4"/>
      <c r="C185" s="4"/>
      <c r="D185" s="4"/>
      <c r="E185" s="4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</row>
    <row r="186" spans="1:68" x14ac:dyDescent="0.25">
      <c r="A186" s="8"/>
      <c r="B186" s="4"/>
      <c r="C186" s="4"/>
      <c r="D186" s="4"/>
      <c r="E186" s="4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</row>
    <row r="187" spans="1:68" x14ac:dyDescent="0.25">
      <c r="A187" s="8"/>
      <c r="B187" s="4"/>
      <c r="C187" s="4"/>
      <c r="D187" s="4"/>
      <c r="E187" s="4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</row>
    <row r="188" spans="1:68" x14ac:dyDescent="0.25">
      <c r="A188" s="8"/>
      <c r="B188" s="4"/>
      <c r="C188" s="4"/>
      <c r="D188" s="4"/>
      <c r="E188" s="4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</row>
    <row r="189" spans="1:68" x14ac:dyDescent="0.25">
      <c r="A189" s="8"/>
      <c r="B189" s="4"/>
      <c r="C189" s="4"/>
      <c r="D189" s="4"/>
      <c r="E189" s="4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</row>
    <row r="190" spans="1:68" x14ac:dyDescent="0.25">
      <c r="A190" s="8"/>
      <c r="B190" s="4"/>
      <c r="C190" s="4"/>
      <c r="D190" s="4"/>
      <c r="E190" s="4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</row>
    <row r="191" spans="1:68" x14ac:dyDescent="0.25">
      <c r="A191" s="8"/>
      <c r="B191" s="4"/>
      <c r="C191" s="4"/>
      <c r="D191" s="4"/>
      <c r="E191" s="4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</row>
    <row r="192" spans="1:68" x14ac:dyDescent="0.25">
      <c r="A192" s="8"/>
      <c r="B192" s="4"/>
      <c r="C192" s="4"/>
      <c r="D192" s="4"/>
      <c r="E192" s="4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</row>
    <row r="193" spans="1:68" x14ac:dyDescent="0.25">
      <c r="A193" s="8"/>
      <c r="B193" s="4"/>
      <c r="C193" s="4"/>
      <c r="D193" s="4"/>
      <c r="E193" s="4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</row>
    <row r="194" spans="1:68" x14ac:dyDescent="0.25">
      <c r="A194" s="8"/>
      <c r="B194" s="4"/>
      <c r="C194" s="4"/>
      <c r="D194" s="4"/>
      <c r="E194" s="4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</row>
    <row r="195" spans="1:68" x14ac:dyDescent="0.25">
      <c r="A195" s="8"/>
      <c r="B195" s="4"/>
      <c r="C195" s="4"/>
      <c r="D195" s="4"/>
      <c r="E195" s="4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</row>
    <row r="196" spans="1:68" x14ac:dyDescent="0.25">
      <c r="A196" s="8"/>
      <c r="B196" s="4"/>
      <c r="C196" s="4"/>
      <c r="D196" s="4"/>
      <c r="E196" s="4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</row>
    <row r="197" spans="1:68" x14ac:dyDescent="0.25">
      <c r="A197" s="8"/>
      <c r="B197" s="4"/>
      <c r="C197" s="4"/>
      <c r="D197" s="4"/>
      <c r="E197" s="4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</row>
    <row r="198" spans="1:68" x14ac:dyDescent="0.25">
      <c r="A198" s="8"/>
      <c r="B198" s="4"/>
      <c r="C198" s="4"/>
      <c r="D198" s="4"/>
      <c r="E198" s="4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</row>
    <row r="199" spans="1:68" x14ac:dyDescent="0.25">
      <c r="A199" s="8"/>
      <c r="B199" s="4"/>
      <c r="C199" s="4"/>
      <c r="D199" s="4"/>
      <c r="E199" s="4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</row>
    <row r="200" spans="1:68" x14ac:dyDescent="0.25">
      <c r="A200" s="8"/>
      <c r="B200" s="4"/>
      <c r="C200" s="4"/>
      <c r="D200" s="4"/>
      <c r="E200" s="4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</row>
    <row r="201" spans="1:68" x14ac:dyDescent="0.25">
      <c r="A201" s="8"/>
      <c r="B201" s="4"/>
      <c r="C201" s="4"/>
      <c r="D201" s="4"/>
      <c r="E201" s="4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</row>
    <row r="202" spans="1:68" x14ac:dyDescent="0.25">
      <c r="A202" s="8"/>
      <c r="B202" s="4"/>
      <c r="C202" s="4"/>
      <c r="D202" s="4"/>
      <c r="E202" s="4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</row>
    <row r="203" spans="1:68" x14ac:dyDescent="0.25">
      <c r="A203" s="8"/>
      <c r="B203" s="4"/>
      <c r="C203" s="4"/>
      <c r="D203" s="4"/>
      <c r="E203" s="4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</row>
    <row r="204" spans="1:68" x14ac:dyDescent="0.25">
      <c r="A204" s="8"/>
      <c r="B204" s="4"/>
      <c r="C204" s="4"/>
      <c r="D204" s="4"/>
      <c r="E204" s="4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</row>
    <row r="205" spans="1:68" x14ac:dyDescent="0.25">
      <c r="A205" s="8"/>
      <c r="B205" s="4"/>
      <c r="C205" s="4"/>
      <c r="D205" s="4"/>
      <c r="E205" s="4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</row>
    <row r="206" spans="1:68" x14ac:dyDescent="0.25">
      <c r="A206" s="8"/>
      <c r="B206" s="4"/>
      <c r="C206" s="4"/>
      <c r="D206" s="4"/>
      <c r="E206" s="4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</row>
    <row r="207" spans="1:68" x14ac:dyDescent="0.25">
      <c r="A207" s="8"/>
      <c r="B207" s="4"/>
      <c r="C207" s="4"/>
      <c r="D207" s="4"/>
      <c r="E207" s="4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</row>
    <row r="208" spans="1:68" x14ac:dyDescent="0.25">
      <c r="A208" s="8"/>
      <c r="B208" s="4"/>
      <c r="C208" s="4"/>
      <c r="D208" s="4"/>
      <c r="E208" s="4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</row>
    <row r="209" spans="1:68" x14ac:dyDescent="0.25">
      <c r="A209" s="8"/>
      <c r="B209" s="4"/>
      <c r="C209" s="4"/>
      <c r="D209" s="4"/>
      <c r="E209" s="4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</row>
    <row r="210" spans="1:68" x14ac:dyDescent="0.25">
      <c r="A210" s="8"/>
      <c r="B210" s="4"/>
      <c r="C210" s="4"/>
      <c r="D210" s="4"/>
      <c r="E210" s="4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</row>
    <row r="211" spans="1:68" x14ac:dyDescent="0.25">
      <c r="A211" s="8"/>
      <c r="B211" s="4"/>
      <c r="C211" s="4"/>
      <c r="D211" s="4"/>
      <c r="E211" s="4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</row>
    <row r="212" spans="1:68" x14ac:dyDescent="0.25">
      <c r="A212" s="8"/>
      <c r="B212" s="4"/>
      <c r="C212" s="4"/>
      <c r="D212" s="4"/>
      <c r="E212" s="4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</row>
    <row r="213" spans="1:68" x14ac:dyDescent="0.25">
      <c r="A213" s="8"/>
      <c r="B213" s="4"/>
      <c r="C213" s="4"/>
      <c r="D213" s="4"/>
      <c r="E213" s="4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</row>
    <row r="214" spans="1:68" x14ac:dyDescent="0.25">
      <c r="A214" s="8"/>
      <c r="B214" s="4"/>
      <c r="C214" s="4"/>
      <c r="D214" s="4"/>
      <c r="E214" s="4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</row>
    <row r="215" spans="1:68" x14ac:dyDescent="0.25">
      <c r="A215" s="8"/>
      <c r="B215" s="4"/>
      <c r="C215" s="4"/>
      <c r="D215" s="4"/>
      <c r="E215" s="4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</row>
    <row r="216" spans="1:68" x14ac:dyDescent="0.25">
      <c r="A216" s="8"/>
      <c r="B216" s="4"/>
      <c r="C216" s="4"/>
      <c r="D216" s="4"/>
      <c r="E216" s="4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</row>
    <row r="217" spans="1:68" x14ac:dyDescent="0.25">
      <c r="A217" s="8"/>
      <c r="B217" s="4"/>
      <c r="C217" s="4"/>
      <c r="D217" s="4"/>
      <c r="E217" s="4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</row>
    <row r="218" spans="1:68" x14ac:dyDescent="0.25">
      <c r="A218" s="8"/>
      <c r="B218" s="4"/>
      <c r="C218" s="4"/>
      <c r="D218" s="4"/>
      <c r="E218" s="4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</row>
    <row r="219" spans="1:68" x14ac:dyDescent="0.25">
      <c r="A219" s="8"/>
      <c r="B219" s="4"/>
      <c r="C219" s="4"/>
      <c r="D219" s="4"/>
      <c r="E219" s="4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</row>
    <row r="220" spans="1:68" x14ac:dyDescent="0.25">
      <c r="A220" s="8"/>
      <c r="B220" s="4"/>
      <c r="C220" s="4"/>
      <c r="D220" s="4"/>
      <c r="E220" s="4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</row>
    <row r="221" spans="1:68" x14ac:dyDescent="0.25">
      <c r="A221" s="8"/>
      <c r="B221" s="4"/>
      <c r="C221" s="4"/>
      <c r="D221" s="4"/>
      <c r="E221" s="4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</row>
    <row r="222" spans="1:68" x14ac:dyDescent="0.25">
      <c r="A222" s="8"/>
      <c r="B222" s="4"/>
      <c r="C222" s="4"/>
      <c r="D222" s="4"/>
      <c r="E222" s="4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</row>
    <row r="223" spans="1:68" x14ac:dyDescent="0.25">
      <c r="A223" s="8"/>
      <c r="B223" s="4"/>
      <c r="C223" s="4"/>
      <c r="D223" s="4"/>
      <c r="E223" s="4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</row>
    <row r="224" spans="1:68" x14ac:dyDescent="0.25">
      <c r="A224" s="8"/>
      <c r="B224" s="4"/>
      <c r="C224" s="4"/>
      <c r="D224" s="4"/>
      <c r="E224" s="4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</row>
    <row r="225" spans="1:68" x14ac:dyDescent="0.25">
      <c r="A225" s="8"/>
      <c r="B225" s="4"/>
      <c r="C225" s="4"/>
      <c r="D225" s="4"/>
      <c r="E225" s="4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</row>
    <row r="226" spans="1:68" x14ac:dyDescent="0.25">
      <c r="A226" s="8"/>
      <c r="B226" s="4"/>
      <c r="C226" s="4"/>
      <c r="D226" s="4"/>
      <c r="E226" s="4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</row>
    <row r="227" spans="1:68" x14ac:dyDescent="0.25">
      <c r="A227" s="8"/>
      <c r="B227" s="4"/>
      <c r="C227" s="4"/>
      <c r="D227" s="4"/>
      <c r="E227" s="4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</row>
    <row r="228" spans="1:68" x14ac:dyDescent="0.25">
      <c r="A228" s="8"/>
      <c r="B228" s="4"/>
      <c r="C228" s="4"/>
      <c r="D228" s="4"/>
      <c r="E228" s="4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</row>
    <row r="229" spans="1:68" x14ac:dyDescent="0.25">
      <c r="A229" s="8"/>
      <c r="B229" s="4"/>
      <c r="C229" s="4"/>
      <c r="D229" s="4"/>
      <c r="E229" s="4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</row>
    <row r="230" spans="1:68" x14ac:dyDescent="0.25">
      <c r="A230" s="8"/>
      <c r="B230" s="4"/>
      <c r="C230" s="4"/>
      <c r="D230" s="4"/>
      <c r="E230" s="4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</row>
    <row r="231" spans="1:68" x14ac:dyDescent="0.25">
      <c r="A231" s="8"/>
      <c r="B231" s="4"/>
      <c r="C231" s="4"/>
      <c r="D231" s="4"/>
      <c r="E231" s="4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</row>
    <row r="232" spans="1:68" x14ac:dyDescent="0.25">
      <c r="A232" s="8"/>
      <c r="B232" s="4"/>
      <c r="C232" s="4"/>
      <c r="D232" s="4"/>
      <c r="E232" s="4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</row>
    <row r="233" spans="1:68" x14ac:dyDescent="0.25">
      <c r="A233" s="8"/>
      <c r="B233" s="4"/>
      <c r="C233" s="4"/>
      <c r="D233" s="4"/>
      <c r="E233" s="4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</row>
    <row r="234" spans="1:68" x14ac:dyDescent="0.25">
      <c r="A234" s="8"/>
      <c r="B234" s="4"/>
      <c r="C234" s="4"/>
      <c r="D234" s="4"/>
      <c r="E234" s="4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</row>
    <row r="235" spans="1:68" x14ac:dyDescent="0.25">
      <c r="A235" s="8"/>
      <c r="B235" s="4"/>
      <c r="C235" s="4"/>
      <c r="D235" s="4"/>
      <c r="E235" s="4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</row>
    <row r="236" spans="1:68" x14ac:dyDescent="0.25">
      <c r="A236" s="8"/>
      <c r="B236" s="4"/>
      <c r="C236" s="4"/>
      <c r="D236" s="4"/>
      <c r="E236" s="4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</row>
    <row r="237" spans="1:68" x14ac:dyDescent="0.25">
      <c r="A237" s="8"/>
      <c r="B237" s="4"/>
      <c r="C237" s="4"/>
      <c r="D237" s="4"/>
      <c r="E237" s="4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</row>
    <row r="238" spans="1:68" x14ac:dyDescent="0.25">
      <c r="A238" s="8"/>
      <c r="B238" s="4"/>
      <c r="C238" s="4"/>
      <c r="D238" s="4"/>
      <c r="E238" s="4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</row>
    <row r="239" spans="1:68" x14ac:dyDescent="0.25">
      <c r="A239" s="8"/>
      <c r="B239" s="4"/>
      <c r="C239" s="4"/>
      <c r="D239" s="4"/>
      <c r="E239" s="4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</row>
    <row r="240" spans="1:68" x14ac:dyDescent="0.25">
      <c r="A240" s="8"/>
      <c r="B240" s="4"/>
      <c r="C240" s="4"/>
      <c r="D240" s="4"/>
      <c r="E240" s="4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</row>
    <row r="241" spans="1:68" x14ac:dyDescent="0.25">
      <c r="A241" s="8"/>
      <c r="B241" s="4"/>
      <c r="C241" s="4"/>
      <c r="D241" s="4"/>
      <c r="E241" s="4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</row>
    <row r="242" spans="1:68" x14ac:dyDescent="0.25">
      <c r="A242" s="8"/>
      <c r="B242" s="4"/>
      <c r="C242" s="4"/>
      <c r="D242" s="4"/>
      <c r="E242" s="4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</row>
    <row r="243" spans="1:68" x14ac:dyDescent="0.25">
      <c r="A243" s="8"/>
      <c r="B243" s="4"/>
      <c r="C243" s="4"/>
      <c r="D243" s="4"/>
      <c r="E243" s="4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</row>
    <row r="244" spans="1:68" x14ac:dyDescent="0.25">
      <c r="A244" s="8"/>
      <c r="B244" s="4"/>
      <c r="C244" s="4"/>
      <c r="D244" s="4"/>
      <c r="E244" s="4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</row>
    <row r="245" spans="1:68" x14ac:dyDescent="0.25">
      <c r="A245" s="8"/>
      <c r="B245" s="4"/>
      <c r="C245" s="4"/>
      <c r="D245" s="4"/>
      <c r="E245" s="4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</row>
    <row r="246" spans="1:68" x14ac:dyDescent="0.25">
      <c r="A246" s="8"/>
      <c r="B246" s="4"/>
      <c r="C246" s="4"/>
      <c r="D246" s="4"/>
      <c r="E246" s="4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</row>
    <row r="247" spans="1:68" x14ac:dyDescent="0.25">
      <c r="A247" s="8"/>
      <c r="B247" s="4"/>
      <c r="C247" s="4"/>
      <c r="D247" s="4"/>
      <c r="E247" s="4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</row>
    <row r="248" spans="1:68" x14ac:dyDescent="0.25">
      <c r="A248" s="8"/>
      <c r="B248" s="4"/>
      <c r="C248" s="4"/>
      <c r="D248" s="4"/>
      <c r="E248" s="4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</row>
    <row r="249" spans="1:68" x14ac:dyDescent="0.25">
      <c r="A249" s="8"/>
      <c r="B249" s="4"/>
      <c r="C249" s="4"/>
      <c r="D249" s="4"/>
      <c r="E249" s="4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</row>
    <row r="250" spans="1:68" x14ac:dyDescent="0.25">
      <c r="A250" s="8"/>
      <c r="B250" s="4"/>
      <c r="C250" s="4"/>
      <c r="D250" s="4"/>
      <c r="E250" s="4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</row>
    <row r="251" spans="1:68" x14ac:dyDescent="0.25">
      <c r="A251" s="8"/>
      <c r="B251" s="4"/>
      <c r="C251" s="4"/>
      <c r="D251" s="4"/>
      <c r="E251" s="4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</row>
    <row r="252" spans="1:68" x14ac:dyDescent="0.25">
      <c r="A252" s="8"/>
      <c r="B252" s="4"/>
      <c r="C252" s="4"/>
      <c r="D252" s="4"/>
      <c r="E252" s="4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</row>
    <row r="253" spans="1:68" x14ac:dyDescent="0.25">
      <c r="A253" s="8"/>
      <c r="B253" s="4"/>
      <c r="C253" s="4"/>
      <c r="D253" s="4"/>
      <c r="E253" s="4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</row>
    <row r="254" spans="1:68" x14ac:dyDescent="0.25">
      <c r="A254" s="8"/>
      <c r="B254" s="4"/>
      <c r="C254" s="4"/>
      <c r="D254" s="4"/>
      <c r="E254" s="4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</row>
    <row r="255" spans="1:68" x14ac:dyDescent="0.25">
      <c r="A255" s="8"/>
      <c r="B255" s="4"/>
      <c r="C255" s="4"/>
      <c r="D255" s="4"/>
      <c r="E255" s="4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</row>
    <row r="256" spans="1:68" x14ac:dyDescent="0.25">
      <c r="A256" s="8"/>
      <c r="B256" s="4"/>
      <c r="C256" s="4"/>
      <c r="D256" s="4"/>
      <c r="E256" s="4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</row>
    <row r="257" spans="1:68" x14ac:dyDescent="0.25">
      <c r="A257" s="8"/>
      <c r="B257" s="4"/>
      <c r="C257" s="4"/>
      <c r="D257" s="4"/>
      <c r="E257" s="4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</row>
    <row r="258" spans="1:68" x14ac:dyDescent="0.25">
      <c r="A258" s="8"/>
      <c r="B258" s="4"/>
      <c r="C258" s="4"/>
      <c r="D258" s="4"/>
      <c r="E258" s="4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</row>
    <row r="259" spans="1:68" x14ac:dyDescent="0.25">
      <c r="A259" s="8"/>
      <c r="B259" s="4"/>
      <c r="C259" s="4"/>
      <c r="D259" s="4"/>
      <c r="E259" s="4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</row>
    <row r="260" spans="1:68" x14ac:dyDescent="0.25">
      <c r="A260" s="8"/>
      <c r="B260" s="4"/>
      <c r="C260" s="4"/>
      <c r="D260" s="4"/>
      <c r="E260" s="4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</row>
    <row r="261" spans="1:68" x14ac:dyDescent="0.25">
      <c r="A261" s="8"/>
      <c r="B261" s="4"/>
      <c r="C261" s="4"/>
      <c r="D261" s="4"/>
      <c r="E261" s="4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</row>
    <row r="262" spans="1:68" x14ac:dyDescent="0.25">
      <c r="A262" s="8"/>
      <c r="B262" s="4"/>
      <c r="C262" s="4"/>
      <c r="D262" s="4"/>
      <c r="E262" s="4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</row>
    <row r="263" spans="1:68" x14ac:dyDescent="0.25">
      <c r="A263" s="8"/>
      <c r="B263" s="4"/>
      <c r="C263" s="4"/>
      <c r="D263" s="4"/>
      <c r="E263" s="4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</row>
    <row r="264" spans="1:68" x14ac:dyDescent="0.25">
      <c r="A264" s="8"/>
      <c r="B264" s="4"/>
      <c r="C264" s="4"/>
      <c r="D264" s="4"/>
      <c r="E264" s="4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</row>
    <row r="265" spans="1:68" x14ac:dyDescent="0.25">
      <c r="A265" s="8"/>
      <c r="B265" s="4"/>
      <c r="C265" s="4"/>
      <c r="D265" s="4"/>
      <c r="E265" s="4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</row>
    <row r="266" spans="1:68" x14ac:dyDescent="0.25">
      <c r="A266" s="8"/>
      <c r="B266" s="4"/>
      <c r="C266" s="4"/>
      <c r="D266" s="4"/>
      <c r="E266" s="4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</row>
    <row r="267" spans="1:68" x14ac:dyDescent="0.25">
      <c r="A267" s="8"/>
      <c r="B267" s="4"/>
      <c r="C267" s="4"/>
      <c r="D267" s="4"/>
      <c r="E267" s="4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</row>
    <row r="268" spans="1:68" x14ac:dyDescent="0.25">
      <c r="A268" s="8"/>
      <c r="B268" s="4"/>
      <c r="C268" s="4"/>
      <c r="D268" s="4"/>
      <c r="E268" s="4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</row>
    <row r="269" spans="1:68" x14ac:dyDescent="0.25">
      <c r="A269" s="8"/>
      <c r="B269" s="4"/>
      <c r="C269" s="4"/>
      <c r="D269" s="4"/>
      <c r="E269" s="4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</row>
    <row r="270" spans="1:68" x14ac:dyDescent="0.25">
      <c r="A270" s="8"/>
      <c r="B270" s="4"/>
      <c r="C270" s="4"/>
      <c r="D270" s="4"/>
      <c r="E270" s="4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</row>
    <row r="271" spans="1:68" x14ac:dyDescent="0.25">
      <c r="A271" s="8"/>
      <c r="B271" s="4"/>
      <c r="C271" s="4"/>
      <c r="D271" s="4"/>
      <c r="E271" s="4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</row>
    <row r="272" spans="1:68" x14ac:dyDescent="0.25">
      <c r="A272" s="8"/>
      <c r="B272" s="4"/>
      <c r="C272" s="4"/>
      <c r="D272" s="4"/>
      <c r="E272" s="4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</row>
    <row r="273" spans="1:68" x14ac:dyDescent="0.25">
      <c r="A273" s="8"/>
      <c r="B273" s="4"/>
      <c r="C273" s="4"/>
      <c r="D273" s="4"/>
      <c r="E273" s="4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</row>
    <row r="274" spans="1:68" x14ac:dyDescent="0.25">
      <c r="A274" s="8"/>
      <c r="B274" s="4"/>
      <c r="C274" s="4"/>
      <c r="D274" s="4"/>
      <c r="E274" s="4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</row>
    <row r="275" spans="1:68" x14ac:dyDescent="0.25">
      <c r="A275" s="8"/>
      <c r="B275" s="4"/>
      <c r="C275" s="4"/>
      <c r="D275" s="4"/>
      <c r="E275" s="4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</row>
    <row r="276" spans="1:68" x14ac:dyDescent="0.25">
      <c r="A276" s="8"/>
      <c r="B276" s="4"/>
      <c r="C276" s="4"/>
      <c r="D276" s="4"/>
      <c r="E276" s="4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</row>
    <row r="277" spans="1:68" x14ac:dyDescent="0.25">
      <c r="A277" s="8"/>
      <c r="B277" s="4"/>
      <c r="C277" s="4"/>
      <c r="D277" s="4"/>
      <c r="E277" s="4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</row>
    <row r="278" spans="1:68" x14ac:dyDescent="0.25">
      <c r="A278" s="8"/>
      <c r="B278" s="4"/>
      <c r="C278" s="4"/>
      <c r="D278" s="4"/>
      <c r="E278" s="4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</row>
    <row r="279" spans="1:68" x14ac:dyDescent="0.25">
      <c r="A279" s="8"/>
      <c r="B279" s="4"/>
      <c r="C279" s="4"/>
      <c r="D279" s="4"/>
      <c r="E279" s="4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</row>
    <row r="280" spans="1:68" x14ac:dyDescent="0.25">
      <c r="A280" s="8"/>
      <c r="B280" s="4"/>
      <c r="C280" s="4"/>
      <c r="D280" s="4"/>
      <c r="E280" s="4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</row>
    <row r="281" spans="1:68" x14ac:dyDescent="0.25">
      <c r="A281" s="8"/>
      <c r="B281" s="4"/>
      <c r="C281" s="4"/>
      <c r="D281" s="4"/>
      <c r="E281" s="4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</row>
    <row r="282" spans="1:68" x14ac:dyDescent="0.25">
      <c r="A282" s="8"/>
      <c r="B282" s="4"/>
      <c r="C282" s="4"/>
      <c r="D282" s="4"/>
      <c r="E282" s="4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</row>
    <row r="283" spans="1:68" x14ac:dyDescent="0.25">
      <c r="A283" s="8"/>
      <c r="B283" s="4"/>
      <c r="C283" s="4"/>
      <c r="D283" s="4"/>
      <c r="E283" s="4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</row>
    <row r="284" spans="1:68" x14ac:dyDescent="0.25">
      <c r="A284" s="8"/>
      <c r="B284" s="4"/>
      <c r="C284" s="4"/>
      <c r="D284" s="4"/>
      <c r="E284" s="4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</row>
    <row r="285" spans="1:68" x14ac:dyDescent="0.25">
      <c r="A285" s="8"/>
      <c r="B285" s="4"/>
      <c r="C285" s="4"/>
      <c r="D285" s="4"/>
      <c r="E285" s="4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</row>
    <row r="286" spans="1:68" x14ac:dyDescent="0.25">
      <c r="A286" s="8"/>
      <c r="B286" s="4"/>
      <c r="C286" s="4"/>
      <c r="D286" s="4"/>
      <c r="E286" s="4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</row>
    <row r="287" spans="1:68" x14ac:dyDescent="0.25">
      <c r="A287" s="8"/>
      <c r="B287" s="4"/>
      <c r="C287" s="4"/>
      <c r="D287" s="4"/>
      <c r="E287" s="4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</row>
    <row r="288" spans="1:68" x14ac:dyDescent="0.25">
      <c r="A288" s="8"/>
      <c r="B288" s="4"/>
      <c r="C288" s="4"/>
      <c r="D288" s="4"/>
      <c r="E288" s="4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</row>
    <row r="289" spans="1:68" x14ac:dyDescent="0.25">
      <c r="A289" s="8"/>
      <c r="B289" s="4"/>
      <c r="C289" s="4"/>
      <c r="D289" s="4"/>
      <c r="E289" s="4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</row>
    <row r="290" spans="1:68" x14ac:dyDescent="0.25">
      <c r="A290" s="8"/>
      <c r="B290" s="4"/>
      <c r="C290" s="4"/>
      <c r="D290" s="4"/>
      <c r="E290" s="4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</row>
    <row r="291" spans="1:68" x14ac:dyDescent="0.25">
      <c r="A291" s="8"/>
      <c r="B291" s="4"/>
      <c r="C291" s="4"/>
      <c r="D291" s="4"/>
      <c r="E291" s="4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</row>
    <row r="292" spans="1:68" x14ac:dyDescent="0.25">
      <c r="A292" s="8"/>
      <c r="B292" s="4"/>
      <c r="C292" s="4"/>
      <c r="D292" s="4"/>
      <c r="E292" s="4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</row>
    <row r="293" spans="1:68" x14ac:dyDescent="0.25">
      <c r="A293" s="8"/>
      <c r="B293" s="4"/>
      <c r="C293" s="4"/>
      <c r="D293" s="4"/>
      <c r="E293" s="4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</row>
    <row r="294" spans="1:68" x14ac:dyDescent="0.25">
      <c r="A294" s="8"/>
      <c r="B294" s="4"/>
      <c r="C294" s="4"/>
      <c r="D294" s="4"/>
      <c r="E294" s="4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</row>
    <row r="295" spans="1:68" x14ac:dyDescent="0.25">
      <c r="A295" s="8"/>
      <c r="B295" s="4"/>
      <c r="C295" s="4"/>
      <c r="D295" s="4"/>
      <c r="E295" s="4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</row>
    <row r="296" spans="1:68" x14ac:dyDescent="0.25">
      <c r="A296" s="8"/>
      <c r="B296" s="4"/>
      <c r="C296" s="4"/>
      <c r="D296" s="4"/>
      <c r="E296" s="4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</row>
    <row r="297" spans="1:68" x14ac:dyDescent="0.25">
      <c r="A297" s="8"/>
      <c r="B297" s="4"/>
      <c r="C297" s="4"/>
      <c r="D297" s="4"/>
      <c r="E297" s="4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</row>
    <row r="298" spans="1:68" x14ac:dyDescent="0.25">
      <c r="A298" s="8"/>
      <c r="B298" s="4"/>
      <c r="C298" s="4"/>
      <c r="D298" s="4"/>
      <c r="E298" s="4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</row>
    <row r="299" spans="1:68" x14ac:dyDescent="0.25">
      <c r="A299" s="8"/>
      <c r="B299" s="4"/>
      <c r="C299" s="4"/>
      <c r="D299" s="4"/>
      <c r="E299" s="4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</row>
    <row r="300" spans="1:68" x14ac:dyDescent="0.25">
      <c r="A300" s="8"/>
      <c r="B300" s="4"/>
      <c r="C300" s="4"/>
      <c r="D300" s="4"/>
      <c r="E300" s="4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</row>
    <row r="301" spans="1:68" x14ac:dyDescent="0.25">
      <c r="A301" s="8"/>
      <c r="B301" s="4"/>
      <c r="C301" s="4"/>
      <c r="D301" s="4"/>
      <c r="E301" s="4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</row>
    <row r="302" spans="1:68" x14ac:dyDescent="0.25">
      <c r="A302" s="8"/>
      <c r="B302" s="4"/>
      <c r="C302" s="4"/>
      <c r="D302" s="4"/>
      <c r="E302" s="4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</row>
    <row r="303" spans="1:68" x14ac:dyDescent="0.25">
      <c r="A303" s="8"/>
      <c r="B303" s="4"/>
      <c r="C303" s="4"/>
      <c r="D303" s="4"/>
      <c r="E303" s="4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</row>
    <row r="304" spans="1:68" x14ac:dyDescent="0.25">
      <c r="A304" s="8"/>
      <c r="B304" s="4"/>
      <c r="C304" s="4"/>
      <c r="D304" s="4"/>
      <c r="E304" s="4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</row>
    <row r="305" spans="1:68" x14ac:dyDescent="0.25">
      <c r="A305" s="8"/>
      <c r="B305" s="4"/>
      <c r="C305" s="4"/>
      <c r="D305" s="4"/>
      <c r="E305" s="4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</row>
    <row r="306" spans="1:68" x14ac:dyDescent="0.25">
      <c r="A306" s="8"/>
      <c r="B306" s="4"/>
      <c r="C306" s="4"/>
      <c r="D306" s="4"/>
      <c r="E306" s="4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</row>
    <row r="307" spans="1:68" x14ac:dyDescent="0.25">
      <c r="A307" s="8"/>
      <c r="B307" s="4"/>
      <c r="C307" s="4"/>
      <c r="D307" s="4"/>
      <c r="E307" s="4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</row>
    <row r="308" spans="1:68" x14ac:dyDescent="0.25">
      <c r="A308" s="8"/>
      <c r="B308" s="4"/>
      <c r="C308" s="4"/>
      <c r="D308" s="4"/>
      <c r="E308" s="4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</row>
    <row r="309" spans="1:68" x14ac:dyDescent="0.25">
      <c r="A309" s="8"/>
      <c r="B309" s="4"/>
      <c r="C309" s="4"/>
      <c r="D309" s="4"/>
      <c r="E309" s="4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</row>
    <row r="310" spans="1:68" x14ac:dyDescent="0.25">
      <c r="A310" s="8"/>
      <c r="B310" s="4"/>
      <c r="C310" s="4"/>
      <c r="D310" s="4"/>
      <c r="E310" s="4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</row>
    <row r="311" spans="1:68" x14ac:dyDescent="0.25">
      <c r="A311" s="8"/>
      <c r="B311" s="4"/>
      <c r="C311" s="4"/>
      <c r="D311" s="4"/>
      <c r="E311" s="4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</row>
    <row r="312" spans="1:68" x14ac:dyDescent="0.25">
      <c r="A312" s="8"/>
      <c r="B312" s="4"/>
      <c r="C312" s="4"/>
      <c r="D312" s="4"/>
      <c r="E312" s="4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</row>
    <row r="313" spans="1:68" x14ac:dyDescent="0.25">
      <c r="A313" s="8"/>
      <c r="B313" s="4"/>
      <c r="C313" s="4"/>
      <c r="D313" s="4"/>
      <c r="E313" s="4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</row>
    <row r="314" spans="1:68" x14ac:dyDescent="0.25">
      <c r="A314" s="8"/>
      <c r="B314" s="4"/>
      <c r="C314" s="4"/>
      <c r="D314" s="4"/>
      <c r="E314" s="4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</row>
    <row r="315" spans="1:68" x14ac:dyDescent="0.25">
      <c r="A315" s="8"/>
      <c r="B315" s="4"/>
      <c r="C315" s="4"/>
      <c r="D315" s="4"/>
      <c r="E315" s="4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</row>
    <row r="316" spans="1:68" x14ac:dyDescent="0.25">
      <c r="A316" s="8"/>
      <c r="B316" s="4"/>
      <c r="C316" s="4"/>
      <c r="D316" s="4"/>
      <c r="E316" s="4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</row>
    <row r="317" spans="1:68" x14ac:dyDescent="0.25">
      <c r="A317" s="8"/>
      <c r="B317" s="4"/>
      <c r="C317" s="4"/>
      <c r="D317" s="4"/>
      <c r="E317" s="4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</row>
    <row r="318" spans="1:68" x14ac:dyDescent="0.25">
      <c r="A318" s="8"/>
      <c r="B318" s="4"/>
      <c r="C318" s="4"/>
      <c r="D318" s="4"/>
      <c r="E318" s="4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</row>
    <row r="319" spans="1:68" x14ac:dyDescent="0.25">
      <c r="A319" s="8"/>
      <c r="B319" s="4"/>
      <c r="C319" s="4"/>
      <c r="D319" s="4"/>
      <c r="E319" s="4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</row>
    <row r="320" spans="1:68" x14ac:dyDescent="0.25">
      <c r="A320" s="8"/>
      <c r="B320" s="4"/>
      <c r="C320" s="4"/>
      <c r="D320" s="4"/>
      <c r="E320" s="4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</row>
    <row r="321" spans="1:68" x14ac:dyDescent="0.25">
      <c r="A321" s="8"/>
      <c r="B321" s="4"/>
      <c r="C321" s="4"/>
      <c r="D321" s="4"/>
      <c r="E321" s="4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</row>
    <row r="322" spans="1:68" x14ac:dyDescent="0.25">
      <c r="A322" s="8"/>
      <c r="B322" s="4"/>
      <c r="C322" s="4"/>
      <c r="D322" s="4"/>
      <c r="E322" s="4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</row>
    <row r="323" spans="1:68" x14ac:dyDescent="0.25">
      <c r="A323" s="8"/>
      <c r="B323" s="4"/>
      <c r="C323" s="4"/>
      <c r="D323" s="4"/>
      <c r="E323" s="4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</row>
    <row r="324" spans="1:68" x14ac:dyDescent="0.25">
      <c r="A324" s="8"/>
      <c r="B324" s="4"/>
      <c r="C324" s="4"/>
      <c r="D324" s="4"/>
      <c r="E324" s="4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</row>
    <row r="325" spans="1:68" x14ac:dyDescent="0.25">
      <c r="A325" s="8"/>
      <c r="B325" s="4"/>
      <c r="C325" s="4"/>
      <c r="D325" s="4"/>
      <c r="E325" s="4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</row>
    <row r="326" spans="1:68" x14ac:dyDescent="0.25">
      <c r="A326" s="8"/>
      <c r="B326" s="4"/>
      <c r="C326" s="4"/>
      <c r="D326" s="4"/>
      <c r="E326" s="4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</row>
    <row r="327" spans="1:68" x14ac:dyDescent="0.25">
      <c r="A327" s="8"/>
      <c r="B327" s="4"/>
      <c r="C327" s="4"/>
      <c r="D327" s="4"/>
      <c r="E327" s="4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</row>
    <row r="328" spans="1:68" x14ac:dyDescent="0.25">
      <c r="A328" s="8"/>
      <c r="B328" s="4"/>
      <c r="C328" s="4"/>
      <c r="D328" s="4"/>
      <c r="E328" s="4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</row>
    <row r="329" spans="1:68" x14ac:dyDescent="0.25">
      <c r="A329" s="8"/>
      <c r="B329" s="4"/>
      <c r="C329" s="4"/>
      <c r="D329" s="4"/>
      <c r="E329" s="4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</row>
    <row r="330" spans="1:68" x14ac:dyDescent="0.25">
      <c r="A330" s="8"/>
      <c r="B330" s="4"/>
      <c r="C330" s="4"/>
      <c r="D330" s="4"/>
      <c r="E330" s="4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</row>
    <row r="331" spans="1:68" x14ac:dyDescent="0.25">
      <c r="A331" s="8"/>
      <c r="B331" s="4"/>
      <c r="C331" s="4"/>
      <c r="D331" s="4"/>
      <c r="E331" s="4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</row>
    <row r="332" spans="1:68" x14ac:dyDescent="0.25">
      <c r="A332" s="8"/>
      <c r="B332" s="4"/>
      <c r="C332" s="4"/>
      <c r="D332" s="4"/>
      <c r="E332" s="4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</row>
    <row r="333" spans="1:68" x14ac:dyDescent="0.25">
      <c r="A333" s="8"/>
      <c r="B333" s="4"/>
      <c r="C333" s="4"/>
      <c r="D333" s="4"/>
      <c r="E333" s="4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</row>
    <row r="334" spans="1:68" x14ac:dyDescent="0.25">
      <c r="A334" s="8"/>
      <c r="B334" s="4"/>
      <c r="C334" s="4"/>
      <c r="D334" s="4"/>
      <c r="E334" s="4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</row>
    <row r="335" spans="1:68" x14ac:dyDescent="0.25">
      <c r="A335" s="8"/>
      <c r="B335" s="4"/>
      <c r="C335" s="4"/>
      <c r="D335" s="4"/>
      <c r="E335" s="4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</row>
    <row r="336" spans="1:68" x14ac:dyDescent="0.25">
      <c r="A336" s="8"/>
      <c r="B336" s="4"/>
      <c r="C336" s="4"/>
      <c r="D336" s="4"/>
      <c r="E336" s="4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</row>
    <row r="337" spans="1:68" x14ac:dyDescent="0.25">
      <c r="A337" s="8"/>
      <c r="B337" s="4"/>
      <c r="C337" s="4"/>
      <c r="D337" s="4"/>
      <c r="E337" s="4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</row>
    <row r="338" spans="1:68" x14ac:dyDescent="0.25">
      <c r="A338" s="8"/>
      <c r="B338" s="4"/>
      <c r="C338" s="4"/>
      <c r="D338" s="4"/>
      <c r="E338" s="4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</row>
    <row r="339" spans="1:68" x14ac:dyDescent="0.25">
      <c r="A339" s="8"/>
      <c r="B339" s="4"/>
      <c r="C339" s="4"/>
      <c r="D339" s="4"/>
      <c r="E339" s="4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</row>
    <row r="340" spans="1:68" x14ac:dyDescent="0.25">
      <c r="A340" s="8"/>
      <c r="B340" s="4"/>
      <c r="C340" s="4"/>
      <c r="D340" s="4"/>
      <c r="E340" s="4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</row>
    <row r="341" spans="1:68" x14ac:dyDescent="0.25">
      <c r="A341" s="8"/>
      <c r="B341" s="4"/>
      <c r="C341" s="4"/>
      <c r="D341" s="4"/>
      <c r="E341" s="4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</row>
    <row r="342" spans="1:68" x14ac:dyDescent="0.25">
      <c r="A342" s="8"/>
      <c r="B342" s="4"/>
      <c r="C342" s="4"/>
      <c r="D342" s="4"/>
      <c r="E342" s="4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</row>
    <row r="343" spans="1:68" x14ac:dyDescent="0.25">
      <c r="A343" s="8"/>
      <c r="B343" s="4"/>
      <c r="C343" s="4"/>
      <c r="D343" s="4"/>
      <c r="E343" s="4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</row>
    <row r="344" spans="1:68" x14ac:dyDescent="0.25">
      <c r="A344" s="8"/>
      <c r="B344" s="4"/>
      <c r="C344" s="4"/>
      <c r="D344" s="4"/>
      <c r="E344" s="4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</row>
    <row r="345" spans="1:68" x14ac:dyDescent="0.25">
      <c r="A345" s="8"/>
      <c r="B345" s="4"/>
      <c r="C345" s="4"/>
      <c r="D345" s="4"/>
      <c r="E345" s="4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</row>
    <row r="346" spans="1:68" x14ac:dyDescent="0.25">
      <c r="A346" s="8"/>
      <c r="B346" s="4"/>
      <c r="C346" s="4"/>
      <c r="D346" s="4"/>
      <c r="E346" s="4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</row>
    <row r="347" spans="1:68" x14ac:dyDescent="0.25">
      <c r="A347" s="8"/>
      <c r="B347" s="4"/>
      <c r="C347" s="4"/>
      <c r="D347" s="4"/>
      <c r="E347" s="4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</row>
    <row r="348" spans="1:68" x14ac:dyDescent="0.25">
      <c r="A348" s="8"/>
      <c r="B348" s="4"/>
      <c r="C348" s="4"/>
      <c r="D348" s="4"/>
      <c r="E348" s="4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</row>
    <row r="349" spans="1:68" x14ac:dyDescent="0.25">
      <c r="A349" s="8"/>
      <c r="B349" s="4"/>
      <c r="C349" s="4"/>
      <c r="D349" s="4"/>
      <c r="E349" s="4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</row>
    <row r="350" spans="1:68" x14ac:dyDescent="0.25">
      <c r="A350" s="8"/>
      <c r="B350" s="4"/>
      <c r="C350" s="4"/>
      <c r="D350" s="4"/>
      <c r="E350" s="4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</row>
    <row r="351" spans="1:68" x14ac:dyDescent="0.25">
      <c r="A351" s="8"/>
      <c r="B351" s="4"/>
      <c r="C351" s="4"/>
      <c r="D351" s="4"/>
      <c r="E351" s="4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</row>
    <row r="352" spans="1:68" x14ac:dyDescent="0.25">
      <c r="A352" s="8"/>
      <c r="B352" s="4"/>
      <c r="C352" s="4"/>
      <c r="D352" s="4"/>
      <c r="E352" s="4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</row>
    <row r="353" spans="1:68" x14ac:dyDescent="0.25">
      <c r="A353" s="8"/>
      <c r="B353" s="4"/>
      <c r="C353" s="4"/>
      <c r="D353" s="4"/>
      <c r="E353" s="4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</row>
    <row r="354" spans="1:68" x14ac:dyDescent="0.25">
      <c r="A354" s="8"/>
      <c r="B354" s="4"/>
      <c r="C354" s="4"/>
      <c r="D354" s="4"/>
      <c r="E354" s="4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</row>
    <row r="355" spans="1:68" x14ac:dyDescent="0.25">
      <c r="A355" s="8"/>
      <c r="B355" s="4"/>
      <c r="C355" s="4"/>
      <c r="D355" s="4"/>
      <c r="E355" s="4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</row>
    <row r="356" spans="1:68" x14ac:dyDescent="0.25">
      <c r="A356" s="8"/>
      <c r="B356" s="4"/>
      <c r="C356" s="4"/>
      <c r="D356" s="4"/>
      <c r="E356" s="4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</row>
    <row r="357" spans="1:68" x14ac:dyDescent="0.25">
      <c r="A357" s="8"/>
      <c r="B357" s="4"/>
      <c r="C357" s="4"/>
      <c r="D357" s="4"/>
      <c r="E357" s="4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</row>
    <row r="358" spans="1:68" x14ac:dyDescent="0.25">
      <c r="A358" s="8"/>
      <c r="B358" s="4"/>
      <c r="C358" s="4"/>
      <c r="D358" s="4"/>
      <c r="E358" s="4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</row>
    <row r="359" spans="1:68" x14ac:dyDescent="0.25">
      <c r="A359" s="8"/>
      <c r="B359" s="4"/>
      <c r="C359" s="4"/>
      <c r="D359" s="4"/>
      <c r="E359" s="4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</row>
    <row r="360" spans="1:68" x14ac:dyDescent="0.25">
      <c r="A360" s="8"/>
      <c r="B360" s="4"/>
      <c r="C360" s="4"/>
      <c r="D360" s="4"/>
      <c r="E360" s="4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</row>
    <row r="361" spans="1:68" x14ac:dyDescent="0.25">
      <c r="A361" s="8"/>
      <c r="B361" s="4"/>
      <c r="C361" s="4"/>
      <c r="D361" s="4"/>
      <c r="E361" s="4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</row>
    <row r="362" spans="1:68" x14ac:dyDescent="0.25">
      <c r="A362" s="8"/>
      <c r="B362" s="4"/>
      <c r="C362" s="4"/>
      <c r="D362" s="4"/>
      <c r="E362" s="4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</row>
    <row r="363" spans="1:68" x14ac:dyDescent="0.25">
      <c r="A363" s="8"/>
      <c r="B363" s="4"/>
      <c r="C363" s="4"/>
      <c r="D363" s="4"/>
      <c r="E363" s="4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</row>
    <row r="364" spans="1:68" x14ac:dyDescent="0.25">
      <c r="A364" s="8"/>
      <c r="B364" s="4"/>
      <c r="C364" s="4"/>
      <c r="D364" s="4"/>
      <c r="E364" s="4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</row>
    <row r="365" spans="1:68" x14ac:dyDescent="0.25">
      <c r="A365" s="8"/>
      <c r="B365" s="4"/>
      <c r="C365" s="4"/>
      <c r="D365" s="4"/>
      <c r="E365" s="4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</row>
    <row r="366" spans="1:68" x14ac:dyDescent="0.25">
      <c r="A366" s="8"/>
      <c r="B366" s="4"/>
      <c r="C366" s="4"/>
      <c r="D366" s="4"/>
      <c r="E366" s="4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</row>
    <row r="367" spans="1:68" x14ac:dyDescent="0.25">
      <c r="A367" s="8"/>
      <c r="B367" s="4"/>
      <c r="C367" s="4"/>
      <c r="D367" s="4"/>
      <c r="E367" s="4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</row>
    <row r="368" spans="1:68" x14ac:dyDescent="0.25">
      <c r="A368" s="8"/>
      <c r="B368" s="4"/>
      <c r="C368" s="4"/>
      <c r="D368" s="4"/>
      <c r="E368" s="4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</row>
    <row r="369" spans="1:68" x14ac:dyDescent="0.25">
      <c r="A369" s="8"/>
      <c r="B369" s="4"/>
      <c r="C369" s="4"/>
      <c r="D369" s="4"/>
      <c r="E369" s="4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</row>
    <row r="370" spans="1:68" x14ac:dyDescent="0.25">
      <c r="A370" s="8"/>
      <c r="B370" s="4"/>
      <c r="C370" s="4"/>
      <c r="D370" s="4"/>
      <c r="E370" s="4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</row>
    <row r="371" spans="1:68" x14ac:dyDescent="0.25">
      <c r="A371" s="8"/>
      <c r="B371" s="4"/>
      <c r="C371" s="4"/>
      <c r="D371" s="4"/>
      <c r="E371" s="4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</row>
    <row r="372" spans="1:68" x14ac:dyDescent="0.25">
      <c r="A372" s="8"/>
      <c r="B372" s="4"/>
      <c r="C372" s="4"/>
      <c r="D372" s="4"/>
      <c r="E372" s="4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</row>
    <row r="373" spans="1:68" x14ac:dyDescent="0.25">
      <c r="A373" s="8"/>
      <c r="B373" s="4"/>
      <c r="C373" s="4"/>
      <c r="D373" s="4"/>
      <c r="E373" s="4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</row>
    <row r="374" spans="1:68" x14ac:dyDescent="0.25">
      <c r="A374" s="8"/>
      <c r="B374" s="4"/>
      <c r="C374" s="4"/>
      <c r="D374" s="4"/>
      <c r="E374" s="4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</row>
    <row r="375" spans="1:68" x14ac:dyDescent="0.25">
      <c r="A375" s="8"/>
      <c r="B375" s="4"/>
      <c r="C375" s="4"/>
      <c r="D375" s="4"/>
      <c r="E375" s="4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</row>
    <row r="376" spans="1:68" x14ac:dyDescent="0.25">
      <c r="A376" s="8"/>
      <c r="B376" s="4"/>
      <c r="C376" s="4"/>
      <c r="D376" s="4"/>
      <c r="E376" s="4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</row>
    <row r="377" spans="1:68" x14ac:dyDescent="0.25">
      <c r="A377" s="8"/>
      <c r="B377" s="4"/>
      <c r="C377" s="4"/>
      <c r="D377" s="4"/>
      <c r="E377" s="4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</row>
    <row r="378" spans="1:68" x14ac:dyDescent="0.25">
      <c r="A378" s="8"/>
      <c r="B378" s="4"/>
      <c r="C378" s="4"/>
      <c r="D378" s="4"/>
      <c r="E378" s="4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</row>
    <row r="379" spans="1:68" x14ac:dyDescent="0.25">
      <c r="A379" s="8"/>
      <c r="B379" s="4"/>
      <c r="C379" s="4"/>
      <c r="D379" s="4"/>
      <c r="E379" s="4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</row>
    <row r="380" spans="1:68" x14ac:dyDescent="0.25">
      <c r="A380" s="8"/>
      <c r="B380" s="4"/>
      <c r="C380" s="4"/>
      <c r="D380" s="4"/>
      <c r="E380" s="4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</row>
    <row r="381" spans="1:68" x14ac:dyDescent="0.25">
      <c r="A381" s="8"/>
      <c r="B381" s="4"/>
      <c r="C381" s="4"/>
      <c r="D381" s="4"/>
      <c r="E381" s="4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</row>
    <row r="382" spans="1:68" x14ac:dyDescent="0.25">
      <c r="A382" s="8"/>
      <c r="B382" s="4"/>
      <c r="C382" s="4"/>
      <c r="D382" s="4"/>
      <c r="E382" s="4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</row>
    <row r="383" spans="1:68" x14ac:dyDescent="0.25">
      <c r="A383" s="8"/>
      <c r="B383" s="4"/>
      <c r="C383" s="4"/>
      <c r="D383" s="4"/>
      <c r="E383" s="4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</row>
    <row r="384" spans="1:68" x14ac:dyDescent="0.25">
      <c r="A384" s="8"/>
      <c r="B384" s="4"/>
      <c r="C384" s="4"/>
      <c r="D384" s="4"/>
      <c r="E384" s="4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</row>
    <row r="385" spans="1:68" x14ac:dyDescent="0.25">
      <c r="A385" s="8"/>
      <c r="B385" s="4"/>
      <c r="C385" s="4"/>
      <c r="D385" s="4"/>
      <c r="E385" s="4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</row>
    <row r="386" spans="1:68" x14ac:dyDescent="0.25">
      <c r="A386" s="8"/>
      <c r="B386" s="4"/>
      <c r="C386" s="4"/>
      <c r="D386" s="4"/>
      <c r="E386" s="4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</row>
    <row r="387" spans="1:68" x14ac:dyDescent="0.25">
      <c r="A387" s="8"/>
      <c r="B387" s="4"/>
      <c r="C387" s="4"/>
      <c r="D387" s="4"/>
      <c r="E387" s="4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</row>
    <row r="388" spans="1:68" x14ac:dyDescent="0.25">
      <c r="A388" s="8"/>
      <c r="B388" s="4"/>
      <c r="C388" s="4"/>
      <c r="D388" s="4"/>
      <c r="E388" s="4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</row>
    <row r="389" spans="1:68" x14ac:dyDescent="0.25">
      <c r="A389" s="8"/>
      <c r="B389" s="4"/>
      <c r="C389" s="4"/>
      <c r="D389" s="4"/>
      <c r="E389" s="4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</row>
    <row r="390" spans="1:68" x14ac:dyDescent="0.25">
      <c r="A390" s="8"/>
      <c r="B390" s="4"/>
      <c r="C390" s="4"/>
      <c r="D390" s="4"/>
      <c r="E390" s="4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</row>
    <row r="391" spans="1:68" x14ac:dyDescent="0.25">
      <c r="A391" s="8"/>
      <c r="B391" s="4"/>
      <c r="C391" s="4"/>
      <c r="D391" s="4"/>
      <c r="E391" s="4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</row>
    <row r="392" spans="1:68" x14ac:dyDescent="0.25">
      <c r="A392" s="8"/>
      <c r="B392" s="4"/>
      <c r="C392" s="4"/>
      <c r="D392" s="4"/>
      <c r="E392" s="4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</row>
    <row r="393" spans="1:68" x14ac:dyDescent="0.25">
      <c r="A393" s="8"/>
      <c r="B393" s="4"/>
      <c r="C393" s="4"/>
      <c r="D393" s="4"/>
      <c r="E393" s="4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</row>
    <row r="394" spans="1:68" x14ac:dyDescent="0.25">
      <c r="A394" s="8"/>
      <c r="B394" s="4"/>
      <c r="C394" s="4"/>
      <c r="D394" s="4"/>
      <c r="E394" s="4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</row>
    <row r="395" spans="1:68" x14ac:dyDescent="0.25">
      <c r="A395" s="8"/>
      <c r="B395" s="4"/>
      <c r="C395" s="4"/>
      <c r="D395" s="4"/>
      <c r="E395" s="4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</row>
    <row r="396" spans="1:68" x14ac:dyDescent="0.25">
      <c r="A396" s="8"/>
      <c r="B396" s="4"/>
      <c r="C396" s="4"/>
      <c r="D396" s="4"/>
      <c r="E396" s="4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</row>
    <row r="397" spans="1:68" x14ac:dyDescent="0.25">
      <c r="A397" s="8"/>
      <c r="B397" s="4"/>
      <c r="C397" s="4"/>
      <c r="D397" s="4"/>
      <c r="E397" s="4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</row>
    <row r="398" spans="1:68" x14ac:dyDescent="0.25">
      <c r="A398" s="8"/>
      <c r="B398" s="4"/>
      <c r="C398" s="4"/>
      <c r="D398" s="4"/>
      <c r="E398" s="4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</row>
    <row r="399" spans="1:68" x14ac:dyDescent="0.25">
      <c r="A399" s="8"/>
      <c r="B399" s="4"/>
      <c r="C399" s="4"/>
      <c r="D399" s="4"/>
      <c r="E399" s="4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</row>
    <row r="400" spans="1:68" x14ac:dyDescent="0.25">
      <c r="A400" s="8"/>
      <c r="B400" s="4"/>
      <c r="C400" s="4"/>
      <c r="D400" s="4"/>
      <c r="E400" s="4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</row>
    <row r="401" spans="1:68" x14ac:dyDescent="0.25">
      <c r="A401" s="8"/>
      <c r="B401" s="4"/>
      <c r="C401" s="4"/>
      <c r="D401" s="4"/>
      <c r="E401" s="4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</row>
    <row r="402" spans="1:68" x14ac:dyDescent="0.25">
      <c r="A402" s="8"/>
      <c r="B402" s="4"/>
      <c r="C402" s="4"/>
      <c r="D402" s="4"/>
      <c r="E402" s="4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</row>
    <row r="403" spans="1:68" x14ac:dyDescent="0.25">
      <c r="A403" s="8"/>
      <c r="B403" s="4"/>
      <c r="C403" s="4"/>
      <c r="D403" s="4"/>
      <c r="E403" s="4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</row>
    <row r="404" spans="1:68" x14ac:dyDescent="0.25">
      <c r="A404" s="8"/>
      <c r="B404" s="4"/>
      <c r="C404" s="4"/>
      <c r="D404" s="4"/>
      <c r="E404" s="4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</row>
    <row r="405" spans="1:68" x14ac:dyDescent="0.25">
      <c r="A405" s="8"/>
      <c r="B405" s="4"/>
      <c r="C405" s="4"/>
      <c r="D405" s="4"/>
      <c r="E405" s="4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</row>
    <row r="406" spans="1:68" x14ac:dyDescent="0.25">
      <c r="A406" s="8"/>
      <c r="B406" s="4"/>
      <c r="C406" s="4"/>
      <c r="D406" s="4"/>
      <c r="E406" s="4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</row>
    <row r="407" spans="1:68" x14ac:dyDescent="0.25">
      <c r="A407" s="8"/>
      <c r="B407" s="4"/>
      <c r="C407" s="4"/>
      <c r="D407" s="4"/>
      <c r="E407" s="4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</row>
    <row r="408" spans="1:68" x14ac:dyDescent="0.25">
      <c r="A408" s="8"/>
      <c r="B408" s="4"/>
      <c r="C408" s="4"/>
      <c r="D408" s="4"/>
      <c r="E408" s="4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</row>
    <row r="409" spans="1:68" x14ac:dyDescent="0.25">
      <c r="A409" s="8"/>
      <c r="B409" s="4"/>
      <c r="C409" s="4"/>
      <c r="D409" s="4"/>
      <c r="E409" s="4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</row>
    <row r="410" spans="1:68" x14ac:dyDescent="0.25">
      <c r="A410" s="8"/>
      <c r="B410" s="4"/>
      <c r="C410" s="4"/>
      <c r="D410" s="4"/>
      <c r="E410" s="4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</row>
    <row r="411" spans="1:68" x14ac:dyDescent="0.25">
      <c r="A411" s="8"/>
      <c r="B411" s="4"/>
      <c r="C411" s="4"/>
      <c r="D411" s="4"/>
      <c r="E411" s="4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</row>
    <row r="412" spans="1:68" x14ac:dyDescent="0.25">
      <c r="A412" s="8"/>
      <c r="B412" s="4"/>
      <c r="C412" s="4"/>
      <c r="D412" s="4"/>
      <c r="E412" s="4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</row>
    <row r="413" spans="1:68" x14ac:dyDescent="0.25">
      <c r="A413" s="8"/>
      <c r="B413" s="4"/>
      <c r="C413" s="4"/>
      <c r="D413" s="4"/>
      <c r="E413" s="4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</row>
    <row r="414" spans="1:68" x14ac:dyDescent="0.25">
      <c r="A414" s="8"/>
      <c r="B414" s="4"/>
      <c r="C414" s="4"/>
      <c r="D414" s="4"/>
      <c r="E414" s="4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</row>
    <row r="415" spans="1:68" x14ac:dyDescent="0.25">
      <c r="A415" s="8"/>
      <c r="B415" s="4"/>
      <c r="C415" s="4"/>
      <c r="D415" s="4"/>
      <c r="E415" s="4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</row>
    <row r="416" spans="1:68" x14ac:dyDescent="0.25">
      <c r="A416" s="8"/>
      <c r="B416" s="4"/>
      <c r="C416" s="4"/>
      <c r="D416" s="4"/>
      <c r="E416" s="4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</row>
    <row r="417" spans="1:68" x14ac:dyDescent="0.25">
      <c r="A417" s="8"/>
      <c r="B417" s="4"/>
      <c r="C417" s="4"/>
      <c r="D417" s="4"/>
      <c r="E417" s="4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</row>
    <row r="418" spans="1:68" x14ac:dyDescent="0.25">
      <c r="A418" s="8"/>
      <c r="B418" s="4"/>
      <c r="C418" s="4"/>
      <c r="D418" s="4"/>
      <c r="E418" s="4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</row>
    <row r="419" spans="1:68" x14ac:dyDescent="0.25">
      <c r="A419" s="8"/>
      <c r="B419" s="4"/>
      <c r="C419" s="4"/>
      <c r="D419" s="4"/>
      <c r="E419" s="4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</row>
    <row r="420" spans="1:68" x14ac:dyDescent="0.25">
      <c r="A420" s="8"/>
      <c r="B420" s="4"/>
      <c r="C420" s="4"/>
      <c r="D420" s="4"/>
      <c r="E420" s="4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</row>
    <row r="421" spans="1:68" x14ac:dyDescent="0.25">
      <c r="A421" s="8"/>
      <c r="B421" s="4"/>
      <c r="C421" s="4"/>
      <c r="D421" s="4"/>
      <c r="E421" s="4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</row>
    <row r="422" spans="1:68" x14ac:dyDescent="0.25">
      <c r="A422" s="8"/>
      <c r="B422" s="4"/>
      <c r="C422" s="4"/>
      <c r="D422" s="4"/>
      <c r="E422" s="4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</row>
    <row r="423" spans="1:68" x14ac:dyDescent="0.25">
      <c r="A423" s="8"/>
      <c r="B423" s="4"/>
      <c r="C423" s="4"/>
      <c r="D423" s="4"/>
      <c r="E423" s="4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</row>
    <row r="424" spans="1:68" x14ac:dyDescent="0.25">
      <c r="A424" s="8"/>
      <c r="B424" s="4"/>
      <c r="C424" s="4"/>
      <c r="D424" s="4"/>
      <c r="E424" s="4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</row>
    <row r="425" spans="1:68" x14ac:dyDescent="0.25">
      <c r="A425" s="8"/>
      <c r="B425" s="4"/>
      <c r="C425" s="4"/>
      <c r="D425" s="4"/>
      <c r="E425" s="4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</row>
    <row r="426" spans="1:68" x14ac:dyDescent="0.25">
      <c r="A426" s="8"/>
      <c r="B426" s="4"/>
      <c r="C426" s="4"/>
      <c r="D426" s="4"/>
      <c r="E426" s="4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</row>
    <row r="427" spans="1:68" x14ac:dyDescent="0.25">
      <c r="A427" s="8"/>
      <c r="B427" s="4"/>
      <c r="C427" s="4"/>
      <c r="D427" s="4"/>
      <c r="E427" s="4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</row>
    <row r="428" spans="1:68" x14ac:dyDescent="0.25">
      <c r="A428" s="8"/>
      <c r="B428" s="4"/>
      <c r="C428" s="4"/>
      <c r="D428" s="4"/>
      <c r="E428" s="4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</row>
    <row r="429" spans="1:68" x14ac:dyDescent="0.25">
      <c r="A429" s="8"/>
      <c r="B429" s="4"/>
      <c r="C429" s="4"/>
      <c r="D429" s="4"/>
      <c r="E429" s="4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</row>
    <row r="430" spans="1:68" x14ac:dyDescent="0.25">
      <c r="A430" s="8"/>
      <c r="B430" s="4"/>
      <c r="C430" s="4"/>
      <c r="D430" s="4"/>
      <c r="E430" s="4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</row>
    <row r="431" spans="1:68" x14ac:dyDescent="0.25">
      <c r="A431" s="8"/>
      <c r="B431" s="4"/>
      <c r="C431" s="4"/>
      <c r="D431" s="4"/>
      <c r="E431" s="4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</row>
    <row r="432" spans="1:68" x14ac:dyDescent="0.25">
      <c r="A432" s="8"/>
      <c r="B432" s="4"/>
      <c r="C432" s="4"/>
      <c r="D432" s="4"/>
      <c r="E432" s="4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</row>
    <row r="433" spans="1:68" x14ac:dyDescent="0.25">
      <c r="A433" s="8"/>
      <c r="B433" s="4"/>
      <c r="C433" s="4"/>
      <c r="D433" s="4"/>
      <c r="E433" s="4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</row>
    <row r="434" spans="1:68" x14ac:dyDescent="0.25">
      <c r="A434" s="8"/>
      <c r="B434" s="4"/>
      <c r="C434" s="4"/>
      <c r="D434" s="4"/>
      <c r="E434" s="4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</row>
    <row r="435" spans="1:68" x14ac:dyDescent="0.25">
      <c r="A435" s="8"/>
      <c r="B435" s="4"/>
      <c r="C435" s="4"/>
      <c r="D435" s="4"/>
      <c r="E435" s="4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</row>
    <row r="436" spans="1:68" x14ac:dyDescent="0.25">
      <c r="A436" s="8"/>
      <c r="B436" s="4"/>
      <c r="C436" s="4"/>
      <c r="D436" s="4"/>
      <c r="E436" s="4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</row>
    <row r="437" spans="1:68" x14ac:dyDescent="0.25">
      <c r="A437" s="8"/>
      <c r="B437" s="4"/>
      <c r="C437" s="4"/>
      <c r="D437" s="4"/>
      <c r="E437" s="4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</row>
    <row r="438" spans="1:68" x14ac:dyDescent="0.25">
      <c r="A438" s="8"/>
      <c r="B438" s="4"/>
      <c r="C438" s="4"/>
      <c r="D438" s="4"/>
      <c r="E438" s="4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</row>
    <row r="439" spans="1:68" x14ac:dyDescent="0.25">
      <c r="A439" s="8"/>
      <c r="B439" s="4"/>
      <c r="C439" s="4"/>
      <c r="D439" s="4"/>
      <c r="E439" s="4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</row>
    <row r="440" spans="1:68" x14ac:dyDescent="0.25">
      <c r="A440" s="8"/>
      <c r="B440" s="4"/>
      <c r="C440" s="4"/>
      <c r="D440" s="4"/>
      <c r="E440" s="4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</row>
    <row r="441" spans="1:68" x14ac:dyDescent="0.25">
      <c r="A441" s="8"/>
      <c r="B441" s="4"/>
      <c r="C441" s="4"/>
      <c r="D441" s="4"/>
      <c r="E441" s="4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</row>
    <row r="442" spans="1:68" x14ac:dyDescent="0.25">
      <c r="A442" s="8"/>
      <c r="B442" s="4"/>
      <c r="C442" s="4"/>
      <c r="D442" s="4"/>
      <c r="E442" s="4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</row>
    <row r="443" spans="1:68" x14ac:dyDescent="0.25">
      <c r="A443" s="8"/>
      <c r="B443" s="4"/>
      <c r="C443" s="4"/>
      <c r="D443" s="4"/>
      <c r="E443" s="4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</row>
    <row r="444" spans="1:68" x14ac:dyDescent="0.25">
      <c r="A444" s="8"/>
      <c r="B444" s="4"/>
      <c r="C444" s="4"/>
      <c r="D444" s="4"/>
      <c r="E444" s="4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</row>
    <row r="445" spans="1:68" x14ac:dyDescent="0.25">
      <c r="A445" s="8"/>
      <c r="B445" s="4"/>
      <c r="C445" s="4"/>
      <c r="D445" s="4"/>
      <c r="E445" s="4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</row>
    <row r="446" spans="1:68" x14ac:dyDescent="0.25">
      <c r="A446" s="8"/>
      <c r="B446" s="4"/>
      <c r="C446" s="4"/>
      <c r="D446" s="4"/>
      <c r="E446" s="4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</row>
    <row r="447" spans="1:68" x14ac:dyDescent="0.25">
      <c r="A447" s="8"/>
      <c r="B447" s="4"/>
      <c r="C447" s="4"/>
      <c r="D447" s="4"/>
      <c r="E447" s="4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</row>
    <row r="448" spans="1:68" x14ac:dyDescent="0.25">
      <c r="A448" s="8"/>
      <c r="B448" s="4"/>
      <c r="C448" s="4"/>
      <c r="D448" s="4"/>
      <c r="E448" s="4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</row>
    <row r="449" spans="1:68" x14ac:dyDescent="0.25">
      <c r="A449" s="8"/>
      <c r="B449" s="4"/>
      <c r="C449" s="4"/>
      <c r="D449" s="4"/>
      <c r="E449" s="4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</row>
    <row r="450" spans="1:68" x14ac:dyDescent="0.25">
      <c r="A450" s="8"/>
      <c r="B450" s="4"/>
      <c r="C450" s="4"/>
      <c r="D450" s="4"/>
      <c r="E450" s="4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</row>
    <row r="451" spans="1:68" x14ac:dyDescent="0.25">
      <c r="A451" s="8"/>
      <c r="B451" s="4"/>
      <c r="C451" s="4"/>
      <c r="D451" s="4"/>
      <c r="E451" s="4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</row>
    <row r="452" spans="1:68" x14ac:dyDescent="0.25">
      <c r="A452" s="8"/>
      <c r="B452" s="4"/>
      <c r="C452" s="4"/>
      <c r="D452" s="4"/>
      <c r="E452" s="4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</row>
    <row r="453" spans="1:68" x14ac:dyDescent="0.25">
      <c r="A453" s="8"/>
      <c r="B453" s="4"/>
      <c r="C453" s="4"/>
      <c r="D453" s="4"/>
      <c r="E453" s="4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</row>
    <row r="454" spans="1:68" x14ac:dyDescent="0.25">
      <c r="A454" s="8"/>
      <c r="B454" s="4"/>
      <c r="C454" s="4"/>
      <c r="D454" s="4"/>
      <c r="E454" s="4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</row>
    <row r="455" spans="1:68" x14ac:dyDescent="0.25">
      <c r="A455" s="8"/>
      <c r="B455" s="4"/>
      <c r="C455" s="4"/>
      <c r="D455" s="4"/>
      <c r="E455" s="4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</row>
    <row r="456" spans="1:68" x14ac:dyDescent="0.25">
      <c r="A456" s="8"/>
      <c r="B456" s="4"/>
      <c r="C456" s="4"/>
      <c r="D456" s="4"/>
      <c r="E456" s="4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</row>
    <row r="457" spans="1:68" x14ac:dyDescent="0.25">
      <c r="A457" s="8"/>
      <c r="B457" s="4"/>
      <c r="C457" s="4"/>
      <c r="D457" s="4"/>
      <c r="E457" s="4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</row>
    <row r="458" spans="1:68" x14ac:dyDescent="0.25">
      <c r="A458" s="8"/>
      <c r="B458" s="4"/>
      <c r="C458" s="4"/>
      <c r="D458" s="4"/>
      <c r="E458" s="4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</row>
    <row r="459" spans="1:68" x14ac:dyDescent="0.25">
      <c r="A459" s="8"/>
      <c r="B459" s="4"/>
      <c r="C459" s="4"/>
      <c r="D459" s="4"/>
      <c r="E459" s="4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</row>
    <row r="460" spans="1:68" x14ac:dyDescent="0.25">
      <c r="A460" s="8"/>
      <c r="B460" s="4"/>
      <c r="C460" s="4"/>
      <c r="D460" s="4"/>
      <c r="E460" s="4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</row>
    <row r="461" spans="1:68" x14ac:dyDescent="0.25">
      <c r="A461" s="8"/>
      <c r="B461" s="4"/>
      <c r="C461" s="4"/>
      <c r="D461" s="4"/>
      <c r="E461" s="4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</row>
    <row r="462" spans="1:68" x14ac:dyDescent="0.25">
      <c r="A462" s="8"/>
      <c r="B462" s="4"/>
      <c r="C462" s="4"/>
      <c r="D462" s="4"/>
      <c r="E462" s="4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</row>
    <row r="463" spans="1:68" x14ac:dyDescent="0.25">
      <c r="A463" s="8"/>
      <c r="B463" s="4"/>
      <c r="C463" s="4"/>
      <c r="D463" s="4"/>
      <c r="E463" s="4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</row>
    <row r="464" spans="1:68" x14ac:dyDescent="0.25">
      <c r="A464" s="8"/>
      <c r="B464" s="4"/>
      <c r="C464" s="4"/>
      <c r="D464" s="4"/>
      <c r="E464" s="4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</row>
    <row r="465" spans="1:68" x14ac:dyDescent="0.25">
      <c r="A465" s="8"/>
      <c r="B465" s="4"/>
      <c r="C465" s="4"/>
      <c r="D465" s="4"/>
      <c r="E465" s="4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</row>
    <row r="466" spans="1:68" x14ac:dyDescent="0.25">
      <c r="A466" s="8"/>
      <c r="B466" s="4"/>
      <c r="C466" s="4"/>
      <c r="D466" s="4"/>
      <c r="E466" s="4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</row>
    <row r="467" spans="1:68" x14ac:dyDescent="0.25">
      <c r="A467" s="8"/>
      <c r="B467" s="4"/>
      <c r="C467" s="4"/>
      <c r="D467" s="4"/>
      <c r="E467" s="4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</row>
    <row r="468" spans="1:68" x14ac:dyDescent="0.25">
      <c r="A468" s="8"/>
      <c r="B468" s="4"/>
      <c r="C468" s="4"/>
      <c r="D468" s="4"/>
      <c r="E468" s="4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</row>
    <row r="469" spans="1:68" x14ac:dyDescent="0.25">
      <c r="A469" s="8"/>
      <c r="B469" s="4"/>
      <c r="C469" s="4"/>
      <c r="D469" s="4"/>
      <c r="E469" s="4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</row>
    <row r="470" spans="1:68" x14ac:dyDescent="0.25">
      <c r="A470" s="8"/>
      <c r="B470" s="4"/>
      <c r="C470" s="4"/>
      <c r="D470" s="4"/>
      <c r="E470" s="4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</row>
    <row r="471" spans="1:68" x14ac:dyDescent="0.25">
      <c r="A471" s="8"/>
      <c r="B471" s="4"/>
      <c r="C471" s="4"/>
      <c r="D471" s="4"/>
      <c r="E471" s="4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</row>
    <row r="472" spans="1:68" x14ac:dyDescent="0.25">
      <c r="A472" s="8"/>
      <c r="B472" s="4"/>
      <c r="C472" s="4"/>
      <c r="D472" s="4"/>
      <c r="E472" s="4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</row>
    <row r="473" spans="1:68" x14ac:dyDescent="0.25">
      <c r="A473" s="8"/>
      <c r="B473" s="4"/>
      <c r="C473" s="4"/>
      <c r="D473" s="4"/>
      <c r="E473" s="4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</row>
    <row r="474" spans="1:68" x14ac:dyDescent="0.25">
      <c r="A474" s="8"/>
      <c r="B474" s="4"/>
      <c r="C474" s="4"/>
      <c r="D474" s="4"/>
      <c r="E474" s="4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</row>
    <row r="475" spans="1:68" x14ac:dyDescent="0.25">
      <c r="A475" s="8"/>
      <c r="B475" s="4"/>
      <c r="C475" s="4"/>
      <c r="D475" s="4"/>
      <c r="E475" s="4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</row>
    <row r="476" spans="1:68" x14ac:dyDescent="0.25">
      <c r="A476" s="8"/>
      <c r="B476" s="4"/>
      <c r="C476" s="4"/>
      <c r="D476" s="4"/>
      <c r="E476" s="4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</row>
    <row r="477" spans="1:68" x14ac:dyDescent="0.25">
      <c r="A477" s="8"/>
      <c r="B477" s="4"/>
      <c r="C477" s="4"/>
      <c r="D477" s="4"/>
      <c r="E477" s="4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</row>
    <row r="478" spans="1:68" x14ac:dyDescent="0.25">
      <c r="A478" s="8"/>
      <c r="B478" s="4"/>
      <c r="C478" s="4"/>
      <c r="D478" s="4"/>
      <c r="E478" s="4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</row>
    <row r="479" spans="1:68" x14ac:dyDescent="0.25">
      <c r="A479" s="8"/>
      <c r="B479" s="4"/>
      <c r="C479" s="4"/>
      <c r="D479" s="4"/>
      <c r="E479" s="4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</row>
    <row r="480" spans="1:68" x14ac:dyDescent="0.25">
      <c r="A480" s="8"/>
      <c r="B480" s="4"/>
      <c r="C480" s="4"/>
      <c r="D480" s="4"/>
      <c r="E480" s="4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</row>
    <row r="481" spans="1:68" x14ac:dyDescent="0.25">
      <c r="A481" s="8"/>
      <c r="B481" s="4"/>
      <c r="C481" s="4"/>
      <c r="D481" s="4"/>
      <c r="E481" s="4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</row>
    <row r="482" spans="1:68" x14ac:dyDescent="0.25">
      <c r="A482" s="8"/>
      <c r="B482" s="4"/>
      <c r="C482" s="4"/>
      <c r="D482" s="4"/>
      <c r="E482" s="4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</row>
    <row r="483" spans="1:68" x14ac:dyDescent="0.25">
      <c r="A483" s="8"/>
      <c r="B483" s="4"/>
      <c r="C483" s="4"/>
      <c r="D483" s="4"/>
      <c r="E483" s="4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</row>
    <row r="484" spans="1:68" x14ac:dyDescent="0.25">
      <c r="A484" s="8"/>
      <c r="B484" s="4"/>
      <c r="C484" s="4"/>
      <c r="D484" s="4"/>
      <c r="E484" s="4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</row>
    <row r="485" spans="1:68" x14ac:dyDescent="0.25">
      <c r="A485" s="8"/>
      <c r="B485" s="4"/>
      <c r="C485" s="4"/>
      <c r="D485" s="4"/>
      <c r="E485" s="4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</row>
    <row r="486" spans="1:68" x14ac:dyDescent="0.25">
      <c r="A486" s="8"/>
      <c r="B486" s="4"/>
      <c r="C486" s="4"/>
      <c r="D486" s="4"/>
      <c r="E486" s="4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</row>
    <row r="487" spans="1:68" x14ac:dyDescent="0.25">
      <c r="A487" s="8"/>
      <c r="B487" s="4"/>
      <c r="C487" s="4"/>
      <c r="D487" s="4"/>
      <c r="E487" s="4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</row>
    <row r="488" spans="1:68" x14ac:dyDescent="0.25">
      <c r="A488" s="8"/>
      <c r="B488" s="4"/>
      <c r="C488" s="4"/>
      <c r="D488" s="4"/>
      <c r="E488" s="4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</row>
    <row r="489" spans="1:68" x14ac:dyDescent="0.25">
      <c r="A489" s="8"/>
      <c r="B489" s="4"/>
      <c r="C489" s="4"/>
      <c r="D489" s="4"/>
      <c r="E489" s="4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</row>
    <row r="490" spans="1:68" x14ac:dyDescent="0.25">
      <c r="A490" s="8"/>
      <c r="B490" s="4"/>
      <c r="C490" s="4"/>
      <c r="D490" s="4"/>
      <c r="E490" s="4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</row>
    <row r="491" spans="1:68" x14ac:dyDescent="0.25">
      <c r="A491" s="8"/>
      <c r="B491" s="4"/>
      <c r="C491" s="4"/>
      <c r="D491" s="4"/>
      <c r="E491" s="4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</row>
    <row r="492" spans="1:68" x14ac:dyDescent="0.25">
      <c r="A492" s="8"/>
      <c r="B492" s="4"/>
      <c r="C492" s="4"/>
      <c r="D492" s="4"/>
      <c r="E492" s="4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</row>
    <row r="493" spans="1:68" x14ac:dyDescent="0.25">
      <c r="A493" s="8"/>
      <c r="B493" s="4"/>
      <c r="C493" s="4"/>
      <c r="D493" s="4"/>
      <c r="E493" s="4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</row>
    <row r="494" spans="1:68" x14ac:dyDescent="0.25">
      <c r="A494" s="8"/>
      <c r="B494" s="4"/>
      <c r="C494" s="4"/>
      <c r="D494" s="4"/>
      <c r="E494" s="4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</row>
    <row r="495" spans="1:68" x14ac:dyDescent="0.25">
      <c r="A495" s="8"/>
      <c r="B495" s="4"/>
      <c r="C495" s="4"/>
      <c r="D495" s="4"/>
      <c r="E495" s="4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</row>
    <row r="496" spans="1:68" x14ac:dyDescent="0.25">
      <c r="A496" s="8"/>
      <c r="B496" s="4"/>
      <c r="C496" s="4"/>
      <c r="D496" s="4"/>
      <c r="E496" s="4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</row>
    <row r="497" spans="1:68" x14ac:dyDescent="0.25">
      <c r="A497" s="8"/>
      <c r="B497" s="4"/>
      <c r="C497" s="4"/>
      <c r="D497" s="4"/>
      <c r="E497" s="4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</row>
    <row r="498" spans="1:68" x14ac:dyDescent="0.25">
      <c r="A498" s="8"/>
      <c r="B498" s="4"/>
      <c r="C498" s="4"/>
      <c r="D498" s="4"/>
      <c r="E498" s="4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</row>
    <row r="499" spans="1:68" x14ac:dyDescent="0.25">
      <c r="A499" s="8"/>
      <c r="B499" s="4"/>
      <c r="C499" s="4"/>
      <c r="D499" s="4"/>
      <c r="E499" s="4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</row>
    <row r="500" spans="1:68" x14ac:dyDescent="0.25">
      <c r="A500" s="8"/>
      <c r="B500" s="4"/>
      <c r="C500" s="4"/>
      <c r="D500" s="4"/>
      <c r="E500" s="4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</row>
    <row r="501" spans="1:68" x14ac:dyDescent="0.25">
      <c r="A501" s="8"/>
      <c r="B501" s="4"/>
      <c r="C501" s="4"/>
      <c r="D501" s="4"/>
      <c r="E501" s="4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</row>
    <row r="502" spans="1:68" x14ac:dyDescent="0.25">
      <c r="A502" s="8"/>
      <c r="B502" s="4"/>
      <c r="C502" s="4"/>
      <c r="D502" s="4"/>
      <c r="E502" s="4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</row>
    <row r="503" spans="1:68" x14ac:dyDescent="0.25">
      <c r="A503" s="8"/>
      <c r="B503" s="4"/>
      <c r="C503" s="4"/>
      <c r="D503" s="4"/>
      <c r="E503" s="4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</row>
    <row r="504" spans="1:68" x14ac:dyDescent="0.25">
      <c r="A504" s="8"/>
      <c r="B504" s="4"/>
      <c r="C504" s="4"/>
      <c r="D504" s="4"/>
      <c r="E504" s="4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</row>
    <row r="505" spans="1:68" x14ac:dyDescent="0.25">
      <c r="A505" s="8"/>
      <c r="B505" s="4"/>
      <c r="C505" s="4"/>
      <c r="D505" s="4"/>
      <c r="E505" s="4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</row>
    <row r="506" spans="1:68" x14ac:dyDescent="0.25">
      <c r="A506" s="8"/>
      <c r="B506" s="4"/>
      <c r="C506" s="4"/>
      <c r="D506" s="4"/>
      <c r="E506" s="4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</row>
    <row r="507" spans="1:68" x14ac:dyDescent="0.25">
      <c r="A507" s="8"/>
      <c r="B507" s="4"/>
      <c r="C507" s="4"/>
      <c r="D507" s="4"/>
      <c r="E507" s="4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</row>
    <row r="508" spans="1:68" x14ac:dyDescent="0.25">
      <c r="A508" s="8"/>
      <c r="B508" s="4"/>
      <c r="C508" s="4"/>
      <c r="D508" s="4"/>
      <c r="E508" s="4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</row>
    <row r="509" spans="1:68" x14ac:dyDescent="0.25">
      <c r="A509" s="8"/>
      <c r="B509" s="4"/>
      <c r="C509" s="4"/>
      <c r="D509" s="4"/>
      <c r="E509" s="4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</row>
    <row r="510" spans="1:68" x14ac:dyDescent="0.25">
      <c r="A510" s="8"/>
      <c r="B510" s="4"/>
      <c r="C510" s="4"/>
      <c r="D510" s="4"/>
      <c r="E510" s="4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</row>
    <row r="511" spans="1:68" x14ac:dyDescent="0.25">
      <c r="A511" s="8"/>
      <c r="B511" s="4"/>
      <c r="C511" s="4"/>
      <c r="D511" s="4"/>
      <c r="E511" s="4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</row>
    <row r="512" spans="1:68" x14ac:dyDescent="0.25">
      <c r="A512" s="8"/>
      <c r="B512" s="4"/>
      <c r="C512" s="4"/>
      <c r="D512" s="4"/>
      <c r="E512" s="4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</row>
    <row r="513" spans="1:68" x14ac:dyDescent="0.25">
      <c r="A513" s="8"/>
      <c r="B513" s="4"/>
      <c r="C513" s="4"/>
      <c r="D513" s="4"/>
      <c r="E513" s="4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</row>
    <row r="514" spans="1:68" x14ac:dyDescent="0.25">
      <c r="A514" s="8"/>
      <c r="B514" s="4"/>
      <c r="C514" s="4"/>
      <c r="D514" s="4"/>
      <c r="E514" s="4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</row>
    <row r="515" spans="1:68" x14ac:dyDescent="0.25">
      <c r="A515" s="8"/>
      <c r="B515" s="4"/>
      <c r="C515" s="4"/>
      <c r="D515" s="4"/>
      <c r="E515" s="4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</row>
    <row r="516" spans="1:68" x14ac:dyDescent="0.25">
      <c r="A516" s="8"/>
      <c r="B516" s="4"/>
      <c r="C516" s="4"/>
      <c r="D516" s="4"/>
      <c r="E516" s="4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</row>
    <row r="517" spans="1:68" x14ac:dyDescent="0.25">
      <c r="A517" s="8"/>
      <c r="B517" s="4"/>
      <c r="C517" s="4"/>
      <c r="D517" s="4"/>
      <c r="E517" s="4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</row>
    <row r="518" spans="1:68" x14ac:dyDescent="0.25">
      <c r="A518" s="8"/>
      <c r="B518" s="4"/>
      <c r="C518" s="4"/>
      <c r="D518" s="4"/>
      <c r="E518" s="4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</row>
    <row r="519" spans="1:68" x14ac:dyDescent="0.25">
      <c r="A519" s="8"/>
      <c r="B519" s="4"/>
      <c r="C519" s="4"/>
      <c r="D519" s="4"/>
      <c r="E519" s="4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</row>
    <row r="520" spans="1:68" x14ac:dyDescent="0.25">
      <c r="A520" s="8"/>
      <c r="B520" s="4"/>
      <c r="C520" s="4"/>
      <c r="D520" s="4"/>
      <c r="E520" s="4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</row>
    <row r="521" spans="1:68" x14ac:dyDescent="0.25">
      <c r="A521" s="8"/>
      <c r="B521" s="4"/>
      <c r="C521" s="4"/>
      <c r="D521" s="4"/>
      <c r="E521" s="4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</row>
    <row r="522" spans="1:68" x14ac:dyDescent="0.25">
      <c r="A522" s="8"/>
      <c r="B522" s="4"/>
      <c r="C522" s="4"/>
      <c r="D522" s="4"/>
      <c r="E522" s="4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</row>
    <row r="523" spans="1:68" x14ac:dyDescent="0.25">
      <c r="A523" s="8"/>
      <c r="B523" s="4"/>
      <c r="C523" s="4"/>
      <c r="D523" s="4"/>
      <c r="E523" s="4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</row>
    <row r="524" spans="1:68" x14ac:dyDescent="0.25">
      <c r="A524" s="8"/>
      <c r="B524" s="4"/>
      <c r="C524" s="4"/>
      <c r="D524" s="4"/>
      <c r="E524" s="4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</row>
    <row r="525" spans="1:68" x14ac:dyDescent="0.25">
      <c r="A525" s="8"/>
      <c r="B525" s="4"/>
      <c r="C525" s="4"/>
      <c r="D525" s="4"/>
      <c r="E525" s="4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</row>
    <row r="526" spans="1:68" x14ac:dyDescent="0.25">
      <c r="A526" s="8"/>
      <c r="B526" s="4"/>
      <c r="C526" s="4"/>
      <c r="D526" s="4"/>
      <c r="E526" s="4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</row>
    <row r="527" spans="1:68" x14ac:dyDescent="0.25">
      <c r="A527" s="8"/>
      <c r="B527" s="4"/>
      <c r="C527" s="4"/>
      <c r="D527" s="4"/>
      <c r="E527" s="4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</row>
    <row r="528" spans="1:68" x14ac:dyDescent="0.25">
      <c r="A528" s="8"/>
      <c r="B528" s="4"/>
      <c r="C528" s="4"/>
      <c r="D528" s="4"/>
      <c r="E528" s="4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</row>
    <row r="529" spans="1:68" x14ac:dyDescent="0.25">
      <c r="A529" s="8"/>
      <c r="B529" s="4"/>
      <c r="C529" s="4"/>
      <c r="D529" s="4"/>
      <c r="E529" s="4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</row>
    <row r="530" spans="1:68" x14ac:dyDescent="0.25">
      <c r="A530" s="8"/>
      <c r="B530" s="4"/>
      <c r="C530" s="4"/>
      <c r="D530" s="4"/>
      <c r="E530" s="4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</row>
    <row r="531" spans="1:68" x14ac:dyDescent="0.25">
      <c r="A531" s="8"/>
      <c r="B531" s="4"/>
      <c r="C531" s="4"/>
      <c r="D531" s="4"/>
      <c r="E531" s="4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</row>
    <row r="532" spans="1:68" x14ac:dyDescent="0.25">
      <c r="A532" s="8"/>
      <c r="B532" s="4"/>
      <c r="C532" s="4"/>
      <c r="D532" s="4"/>
      <c r="E532" s="4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</row>
    <row r="533" spans="1:68" x14ac:dyDescent="0.25">
      <c r="A533" s="8"/>
      <c r="B533" s="4"/>
      <c r="C533" s="4"/>
      <c r="D533" s="4"/>
      <c r="E533" s="4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</row>
    <row r="534" spans="1:68" x14ac:dyDescent="0.25">
      <c r="A534" s="8"/>
      <c r="B534" s="4"/>
      <c r="C534" s="4"/>
      <c r="D534" s="4"/>
      <c r="E534" s="4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</row>
    <row r="535" spans="1:68" x14ac:dyDescent="0.25">
      <c r="A535" s="8"/>
      <c r="B535" s="4"/>
      <c r="C535" s="4"/>
      <c r="D535" s="4"/>
      <c r="E535" s="4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</row>
    <row r="536" spans="1:68" x14ac:dyDescent="0.25">
      <c r="A536" s="8"/>
      <c r="B536" s="4"/>
      <c r="C536" s="4"/>
      <c r="D536" s="4"/>
      <c r="E536" s="4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</row>
    <row r="537" spans="1:68" x14ac:dyDescent="0.25">
      <c r="A537" s="8"/>
      <c r="B537" s="4"/>
      <c r="C537" s="4"/>
      <c r="D537" s="4"/>
      <c r="E537" s="4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</row>
    <row r="538" spans="1:68" x14ac:dyDescent="0.25">
      <c r="A538" s="8"/>
      <c r="B538" s="4"/>
      <c r="C538" s="4"/>
      <c r="D538" s="4"/>
      <c r="E538" s="4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</row>
    <row r="539" spans="1:68" x14ac:dyDescent="0.25">
      <c r="A539" s="8"/>
      <c r="B539" s="4"/>
      <c r="C539" s="4"/>
      <c r="D539" s="4"/>
      <c r="E539" s="4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</row>
    <row r="540" spans="1:68" x14ac:dyDescent="0.25">
      <c r="A540" s="8"/>
      <c r="B540" s="4"/>
      <c r="C540" s="4"/>
      <c r="D540" s="4"/>
      <c r="E540" s="4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</row>
    <row r="541" spans="1:68" x14ac:dyDescent="0.25">
      <c r="A541" s="8"/>
      <c r="B541" s="4"/>
      <c r="C541" s="4"/>
      <c r="D541" s="4"/>
      <c r="E541" s="4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</row>
    <row r="542" spans="1:68" x14ac:dyDescent="0.25">
      <c r="A542" s="8"/>
      <c r="B542" s="4"/>
      <c r="C542" s="4"/>
      <c r="D542" s="4"/>
      <c r="E542" s="4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</row>
    <row r="543" spans="1:68" x14ac:dyDescent="0.25">
      <c r="A543" s="8"/>
      <c r="B543" s="4"/>
      <c r="C543" s="4"/>
      <c r="D543" s="4"/>
      <c r="E543" s="4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</row>
    <row r="544" spans="1:68" x14ac:dyDescent="0.25">
      <c r="A544" s="8"/>
      <c r="B544" s="4"/>
      <c r="C544" s="4"/>
      <c r="D544" s="4"/>
      <c r="E544" s="4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</row>
    <row r="545" spans="1:68" x14ac:dyDescent="0.25">
      <c r="A545" s="8"/>
      <c r="B545" s="4"/>
      <c r="C545" s="4"/>
      <c r="D545" s="4"/>
      <c r="E545" s="4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</row>
    <row r="546" spans="1:68" x14ac:dyDescent="0.25">
      <c r="A546" s="8"/>
      <c r="B546" s="4"/>
      <c r="C546" s="4"/>
      <c r="D546" s="4"/>
      <c r="E546" s="4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</row>
    <row r="547" spans="1:68" x14ac:dyDescent="0.25">
      <c r="A547" s="8"/>
      <c r="B547" s="4"/>
      <c r="C547" s="4"/>
      <c r="D547" s="4"/>
      <c r="E547" s="4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</row>
    <row r="548" spans="1:68" x14ac:dyDescent="0.25">
      <c r="A548" s="8"/>
      <c r="B548" s="4"/>
      <c r="C548" s="4"/>
      <c r="D548" s="4"/>
      <c r="E548" s="4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</row>
    <row r="549" spans="1:68" x14ac:dyDescent="0.25">
      <c r="A549" s="8"/>
      <c r="B549" s="4"/>
      <c r="C549" s="4"/>
      <c r="D549" s="4"/>
      <c r="E549" s="4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</row>
    <row r="550" spans="1:68" x14ac:dyDescent="0.25">
      <c r="A550" s="8"/>
      <c r="B550" s="4"/>
      <c r="C550" s="4"/>
      <c r="D550" s="4"/>
      <c r="E550" s="4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</row>
    <row r="551" spans="1:68" x14ac:dyDescent="0.25">
      <c r="A551" s="8"/>
      <c r="B551" s="4"/>
      <c r="C551" s="4"/>
      <c r="D551" s="4"/>
      <c r="E551" s="4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</row>
    <row r="552" spans="1:68" x14ac:dyDescent="0.25">
      <c r="A552" s="8"/>
      <c r="B552" s="4"/>
      <c r="C552" s="4"/>
      <c r="D552" s="4"/>
      <c r="E552" s="4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</row>
    <row r="553" spans="1:68" x14ac:dyDescent="0.25">
      <c r="A553" s="8"/>
      <c r="B553" s="4"/>
      <c r="C553" s="4"/>
      <c r="D553" s="4"/>
      <c r="E553" s="4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</row>
    <row r="554" spans="1:68" x14ac:dyDescent="0.25">
      <c r="A554" s="8"/>
      <c r="B554" s="4"/>
      <c r="C554" s="4"/>
      <c r="D554" s="4"/>
      <c r="E554" s="4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</row>
    <row r="555" spans="1:68" x14ac:dyDescent="0.25">
      <c r="A555" s="8"/>
      <c r="B555" s="4"/>
      <c r="C555" s="4"/>
      <c r="D555" s="4"/>
      <c r="E555" s="4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</row>
    <row r="556" spans="1:68" x14ac:dyDescent="0.25">
      <c r="A556" s="8"/>
      <c r="B556" s="4"/>
      <c r="C556" s="4"/>
      <c r="D556" s="4"/>
      <c r="E556" s="4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</row>
    <row r="557" spans="1:68" x14ac:dyDescent="0.25">
      <c r="A557" s="8"/>
      <c r="B557" s="4"/>
      <c r="C557" s="4"/>
      <c r="D557" s="4"/>
      <c r="E557" s="4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</row>
    <row r="558" spans="1:68" x14ac:dyDescent="0.25">
      <c r="A558" s="8"/>
      <c r="B558" s="4"/>
      <c r="C558" s="4"/>
      <c r="D558" s="4"/>
      <c r="E558" s="4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</row>
    <row r="559" spans="1:68" x14ac:dyDescent="0.25">
      <c r="A559" s="8"/>
      <c r="B559" s="4"/>
      <c r="C559" s="4"/>
      <c r="D559" s="4"/>
      <c r="E559" s="4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</row>
    <row r="560" spans="1:68" x14ac:dyDescent="0.25">
      <c r="A560" s="8"/>
      <c r="B560" s="4"/>
      <c r="C560" s="4"/>
      <c r="D560" s="4"/>
      <c r="E560" s="4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</row>
    <row r="561" spans="1:68" x14ac:dyDescent="0.25">
      <c r="A561" s="8"/>
      <c r="B561" s="4"/>
      <c r="C561" s="4"/>
      <c r="D561" s="4"/>
      <c r="E561" s="4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</row>
    <row r="562" spans="1:68" x14ac:dyDescent="0.25">
      <c r="A562" s="8"/>
      <c r="B562" s="4"/>
      <c r="C562" s="4"/>
      <c r="D562" s="4"/>
      <c r="E562" s="4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</row>
    <row r="563" spans="1:68" x14ac:dyDescent="0.25">
      <c r="A563" s="8"/>
      <c r="B563" s="4"/>
      <c r="C563" s="4"/>
      <c r="D563" s="4"/>
      <c r="E563" s="4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</row>
    <row r="564" spans="1:68" x14ac:dyDescent="0.25">
      <c r="A564" s="8"/>
      <c r="B564" s="4"/>
      <c r="C564" s="4"/>
      <c r="D564" s="4"/>
      <c r="E564" s="4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</row>
    <row r="565" spans="1:68" x14ac:dyDescent="0.25">
      <c r="A565" s="8"/>
      <c r="B565" s="4"/>
      <c r="C565" s="4"/>
      <c r="D565" s="4"/>
      <c r="E565" s="4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</row>
    <row r="566" spans="1:68" x14ac:dyDescent="0.25">
      <c r="A566" s="8"/>
      <c r="B566" s="4"/>
      <c r="C566" s="4"/>
      <c r="D566" s="4"/>
      <c r="E566" s="4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</row>
    <row r="567" spans="1:68" x14ac:dyDescent="0.25">
      <c r="A567" s="8"/>
      <c r="B567" s="4"/>
      <c r="C567" s="4"/>
      <c r="D567" s="4"/>
      <c r="E567" s="4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</row>
    <row r="568" spans="1:68" x14ac:dyDescent="0.25">
      <c r="A568" s="8"/>
      <c r="B568" s="4"/>
      <c r="C568" s="4"/>
      <c r="D568" s="4"/>
      <c r="E568" s="4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</row>
    <row r="569" spans="1:68" x14ac:dyDescent="0.25">
      <c r="A569" s="8"/>
      <c r="B569" s="4"/>
      <c r="C569" s="4"/>
      <c r="D569" s="4"/>
      <c r="E569" s="4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</row>
    <row r="570" spans="1:68" x14ac:dyDescent="0.25">
      <c r="A570" s="8"/>
      <c r="B570" s="4"/>
      <c r="C570" s="4"/>
      <c r="D570" s="4"/>
      <c r="E570" s="4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</row>
    <row r="571" spans="1:68" x14ac:dyDescent="0.25">
      <c r="A571" s="8"/>
      <c r="B571" s="4"/>
      <c r="C571" s="4"/>
      <c r="D571" s="4"/>
      <c r="E571" s="4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</row>
    <row r="572" spans="1:68" x14ac:dyDescent="0.25">
      <c r="A572" s="8"/>
      <c r="B572" s="4"/>
      <c r="C572" s="4"/>
      <c r="D572" s="4"/>
      <c r="E572" s="4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</row>
    <row r="573" spans="1:68" x14ac:dyDescent="0.25">
      <c r="A573" s="8"/>
      <c r="B573" s="4"/>
      <c r="C573" s="4"/>
      <c r="D573" s="4"/>
      <c r="E573" s="4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</row>
    <row r="574" spans="1:68" x14ac:dyDescent="0.25">
      <c r="A574" s="8"/>
      <c r="B574" s="4"/>
      <c r="C574" s="4"/>
      <c r="D574" s="4"/>
      <c r="E574" s="4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</row>
    <row r="575" spans="1:68" x14ac:dyDescent="0.25">
      <c r="A575" s="8"/>
      <c r="B575" s="4"/>
      <c r="C575" s="4"/>
      <c r="D575" s="4"/>
      <c r="E575" s="4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</row>
    <row r="576" spans="1:68" x14ac:dyDescent="0.25">
      <c r="A576" s="8"/>
      <c r="B576" s="4"/>
      <c r="C576" s="4"/>
      <c r="D576" s="4"/>
      <c r="E576" s="4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</row>
    <row r="577" spans="1:68" x14ac:dyDescent="0.25">
      <c r="A577" s="8"/>
      <c r="B577" s="4"/>
      <c r="C577" s="4"/>
      <c r="D577" s="4"/>
      <c r="E577" s="4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</row>
    <row r="578" spans="1:68" x14ac:dyDescent="0.25">
      <c r="A578" s="8"/>
      <c r="B578" s="4"/>
      <c r="C578" s="4"/>
      <c r="D578" s="4"/>
      <c r="E578" s="4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</row>
    <row r="579" spans="1:68" x14ac:dyDescent="0.25">
      <c r="A579" s="8"/>
      <c r="B579" s="4"/>
      <c r="C579" s="4"/>
      <c r="D579" s="4"/>
      <c r="E579" s="4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</row>
    <row r="580" spans="1:68" x14ac:dyDescent="0.25">
      <c r="A580" s="8"/>
      <c r="B580" s="4"/>
      <c r="C580" s="4"/>
      <c r="D580" s="4"/>
      <c r="E580" s="4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</row>
    <row r="581" spans="1:68" x14ac:dyDescent="0.25">
      <c r="A581" s="8"/>
      <c r="B581" s="4"/>
      <c r="C581" s="4"/>
      <c r="D581" s="4"/>
      <c r="E581" s="4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</row>
    <row r="582" spans="1:68" x14ac:dyDescent="0.25">
      <c r="A582" s="8"/>
      <c r="B582" s="4"/>
      <c r="C582" s="4"/>
      <c r="D582" s="4"/>
      <c r="E582" s="4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</row>
    <row r="583" spans="1:68" x14ac:dyDescent="0.25">
      <c r="A583" s="8"/>
      <c r="B583" s="4"/>
      <c r="C583" s="4"/>
      <c r="D583" s="4"/>
      <c r="E583" s="4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</row>
    <row r="584" spans="1:68" x14ac:dyDescent="0.25">
      <c r="A584" s="8"/>
      <c r="B584" s="4"/>
      <c r="C584" s="4"/>
      <c r="D584" s="4"/>
      <c r="E584" s="4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</row>
    <row r="585" spans="1:68" x14ac:dyDescent="0.25">
      <c r="A585" s="8"/>
      <c r="B585" s="4"/>
      <c r="C585" s="4"/>
      <c r="D585" s="4"/>
      <c r="E585" s="4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</row>
    <row r="586" spans="1:68" x14ac:dyDescent="0.25">
      <c r="A586" s="8"/>
      <c r="B586" s="4"/>
      <c r="C586" s="4"/>
      <c r="D586" s="4"/>
      <c r="E586" s="4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</row>
    <row r="587" spans="1:68" x14ac:dyDescent="0.25">
      <c r="A587" s="8"/>
      <c r="B587" s="4"/>
      <c r="C587" s="4"/>
      <c r="D587" s="4"/>
      <c r="E587" s="4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</row>
    <row r="588" spans="1:68" x14ac:dyDescent="0.25">
      <c r="A588" s="8"/>
      <c r="B588" s="4"/>
      <c r="C588" s="4"/>
      <c r="D588" s="4"/>
      <c r="E588" s="4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</row>
    <row r="589" spans="1:68" x14ac:dyDescent="0.25">
      <c r="A589" s="8"/>
      <c r="B589" s="4"/>
      <c r="C589" s="4"/>
      <c r="D589" s="4"/>
      <c r="E589" s="4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</row>
    <row r="590" spans="1:68" x14ac:dyDescent="0.25">
      <c r="A590" s="8"/>
      <c r="B590" s="4"/>
      <c r="C590" s="4"/>
      <c r="D590" s="4"/>
      <c r="E590" s="4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</row>
    <row r="591" spans="1:68" x14ac:dyDescent="0.25">
      <c r="A591" s="8"/>
      <c r="B591" s="4"/>
      <c r="C591" s="4"/>
      <c r="D591" s="4"/>
      <c r="E591" s="4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</row>
    <row r="592" spans="1:68" x14ac:dyDescent="0.25">
      <c r="A592" s="8"/>
      <c r="B592" s="4"/>
      <c r="C592" s="4"/>
      <c r="D592" s="4"/>
      <c r="E592" s="4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</row>
    <row r="593" spans="1:68" x14ac:dyDescent="0.25">
      <c r="A593" s="8"/>
      <c r="B593" s="4"/>
      <c r="C593" s="4"/>
      <c r="D593" s="4"/>
      <c r="E593" s="4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</row>
    <row r="594" spans="1:68" x14ac:dyDescent="0.25">
      <c r="A594" s="8"/>
      <c r="B594" s="4"/>
      <c r="C594" s="4"/>
      <c r="D594" s="4"/>
      <c r="E594" s="4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</row>
    <row r="595" spans="1:68" x14ac:dyDescent="0.25">
      <c r="A595" s="8"/>
      <c r="B595" s="4"/>
      <c r="C595" s="4"/>
      <c r="D595" s="4"/>
      <c r="E595" s="4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</row>
    <row r="596" spans="1:68" x14ac:dyDescent="0.25">
      <c r="A596" s="8"/>
      <c r="B596" s="4"/>
      <c r="C596" s="4"/>
      <c r="D596" s="4"/>
      <c r="E596" s="4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</row>
    <row r="597" spans="1:68" x14ac:dyDescent="0.25">
      <c r="A597" s="8"/>
      <c r="B597" s="4"/>
      <c r="C597" s="4"/>
      <c r="D597" s="4"/>
      <c r="E597" s="4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</row>
    <row r="598" spans="1:68" x14ac:dyDescent="0.25">
      <c r="A598" s="8"/>
      <c r="B598" s="4"/>
      <c r="C598" s="4"/>
      <c r="D598" s="4"/>
      <c r="E598" s="4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</row>
    <row r="599" spans="1:68" x14ac:dyDescent="0.25">
      <c r="A599" s="8"/>
      <c r="B599" s="4"/>
      <c r="C599" s="4"/>
      <c r="D599" s="4"/>
      <c r="E599" s="4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</row>
    <row r="600" spans="1:68" x14ac:dyDescent="0.25">
      <c r="A600" s="8"/>
      <c r="B600" s="4"/>
      <c r="C600" s="4"/>
      <c r="D600" s="4"/>
      <c r="E600" s="4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</row>
    <row r="601" spans="1:68" x14ac:dyDescent="0.25">
      <c r="A601" s="8"/>
      <c r="B601" s="4"/>
      <c r="C601" s="4"/>
      <c r="D601" s="4"/>
      <c r="E601" s="4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</row>
    <row r="602" spans="1:68" x14ac:dyDescent="0.25">
      <c r="A602" s="8"/>
      <c r="B602" s="4"/>
      <c r="C602" s="4"/>
      <c r="D602" s="4"/>
      <c r="E602" s="4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</row>
    <row r="603" spans="1:68" x14ac:dyDescent="0.25">
      <c r="A603" s="8"/>
      <c r="B603" s="4"/>
      <c r="C603" s="4"/>
      <c r="D603" s="4"/>
      <c r="E603" s="4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</row>
    <row r="604" spans="1:68" x14ac:dyDescent="0.25">
      <c r="A604" s="8"/>
      <c r="B604" s="4"/>
      <c r="C604" s="4"/>
      <c r="D604" s="4"/>
      <c r="E604" s="4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</row>
    <row r="605" spans="1:68" x14ac:dyDescent="0.25">
      <c r="A605" s="8"/>
      <c r="B605" s="4"/>
      <c r="C605" s="4"/>
      <c r="D605" s="4"/>
      <c r="E605" s="4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</row>
    <row r="606" spans="1:68" x14ac:dyDescent="0.25">
      <c r="A606" s="8"/>
      <c r="B606" s="4"/>
      <c r="C606" s="4"/>
      <c r="D606" s="4"/>
      <c r="E606" s="4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</row>
    <row r="607" spans="1:68" x14ac:dyDescent="0.25">
      <c r="A607" s="8"/>
      <c r="B607" s="4"/>
      <c r="C607" s="4"/>
      <c r="D607" s="4"/>
      <c r="E607" s="4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</row>
    <row r="608" spans="1:68" x14ac:dyDescent="0.25">
      <c r="A608" s="8"/>
      <c r="B608" s="4"/>
      <c r="C608" s="4"/>
      <c r="D608" s="4"/>
      <c r="E608" s="4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</row>
    <row r="609" spans="1:68" x14ac:dyDescent="0.25">
      <c r="A609" s="8"/>
      <c r="B609" s="4"/>
      <c r="C609" s="4"/>
      <c r="D609" s="4"/>
      <c r="E609" s="4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</row>
    <row r="610" spans="1:68" x14ac:dyDescent="0.25">
      <c r="A610" s="8"/>
      <c r="B610" s="4"/>
      <c r="C610" s="4"/>
      <c r="D610" s="4"/>
      <c r="E610" s="4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</row>
    <row r="611" spans="1:68" x14ac:dyDescent="0.25">
      <c r="A611" s="8"/>
      <c r="B611" s="4"/>
      <c r="C611" s="4"/>
      <c r="D611" s="4"/>
      <c r="E611" s="4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</row>
    <row r="612" spans="1:68" x14ac:dyDescent="0.25">
      <c r="A612" s="8"/>
      <c r="B612" s="4"/>
      <c r="C612" s="4"/>
      <c r="D612" s="4"/>
      <c r="E612" s="4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</row>
    <row r="613" spans="1:68" x14ac:dyDescent="0.25">
      <c r="A613" s="8"/>
      <c r="B613" s="4"/>
      <c r="C613" s="4"/>
      <c r="D613" s="4"/>
      <c r="E613" s="4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</row>
    <row r="614" spans="1:68" x14ac:dyDescent="0.25">
      <c r="A614" s="8"/>
      <c r="B614" s="4"/>
      <c r="C614" s="4"/>
      <c r="D614" s="4"/>
      <c r="E614" s="4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</row>
    <row r="615" spans="1:68" x14ac:dyDescent="0.25">
      <c r="A615" s="8"/>
      <c r="B615" s="4"/>
      <c r="C615" s="4"/>
      <c r="D615" s="4"/>
      <c r="E615" s="4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</row>
    <row r="616" spans="1:68" x14ac:dyDescent="0.25">
      <c r="A616" s="8"/>
      <c r="B616" s="4"/>
      <c r="C616" s="4"/>
      <c r="D616" s="4"/>
      <c r="E616" s="4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</row>
    <row r="617" spans="1:68" x14ac:dyDescent="0.25">
      <c r="A617" s="8"/>
      <c r="B617" s="4"/>
      <c r="C617" s="4"/>
      <c r="D617" s="4"/>
      <c r="E617" s="4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</row>
    <row r="618" spans="1:68" x14ac:dyDescent="0.25">
      <c r="A618" s="8"/>
      <c r="B618" s="4"/>
      <c r="C618" s="4"/>
      <c r="D618" s="4"/>
      <c r="E618" s="4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</row>
    <row r="619" spans="1:68" x14ac:dyDescent="0.25">
      <c r="A619" s="8"/>
      <c r="B619" s="4"/>
      <c r="C619" s="4"/>
      <c r="D619" s="4"/>
      <c r="E619" s="4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</row>
    <row r="620" spans="1:68" x14ac:dyDescent="0.25">
      <c r="A620" s="8"/>
      <c r="B620" s="4"/>
      <c r="C620" s="4"/>
      <c r="D620" s="4"/>
      <c r="E620" s="4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</row>
    <row r="621" spans="1:68" x14ac:dyDescent="0.25">
      <c r="A621" s="8"/>
      <c r="B621" s="4"/>
      <c r="C621" s="4"/>
      <c r="D621" s="4"/>
      <c r="E621" s="4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</row>
    <row r="622" spans="1:68" x14ac:dyDescent="0.25">
      <c r="A622" s="8"/>
      <c r="B622" s="4"/>
      <c r="C622" s="4"/>
      <c r="D622" s="4"/>
      <c r="E622" s="4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</row>
    <row r="623" spans="1:68" x14ac:dyDescent="0.25">
      <c r="A623" s="8"/>
      <c r="B623" s="4"/>
      <c r="C623" s="4"/>
      <c r="D623" s="4"/>
      <c r="E623" s="4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</row>
    <row r="624" spans="1:68" x14ac:dyDescent="0.25">
      <c r="A624" s="8"/>
      <c r="B624" s="4"/>
      <c r="C624" s="4"/>
      <c r="D624" s="4"/>
      <c r="E624" s="4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</row>
    <row r="625" spans="1:68" x14ac:dyDescent="0.25">
      <c r="A625" s="8"/>
      <c r="B625" s="4"/>
      <c r="C625" s="4"/>
      <c r="D625" s="4"/>
      <c r="E625" s="4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</row>
    <row r="626" spans="1:68" x14ac:dyDescent="0.25">
      <c r="A626" s="8"/>
      <c r="B626" s="4"/>
      <c r="C626" s="4"/>
      <c r="D626" s="4"/>
      <c r="E626" s="4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</row>
    <row r="627" spans="1:68" x14ac:dyDescent="0.25">
      <c r="A627" s="8"/>
      <c r="B627" s="4"/>
      <c r="C627" s="4"/>
      <c r="D627" s="4"/>
      <c r="E627" s="4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</row>
    <row r="628" spans="1:68" x14ac:dyDescent="0.25">
      <c r="A628" s="8"/>
      <c r="B628" s="4"/>
      <c r="C628" s="4"/>
      <c r="D628" s="4"/>
      <c r="E628" s="4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</row>
    <row r="629" spans="1:68" x14ac:dyDescent="0.25">
      <c r="A629" s="8"/>
      <c r="B629" s="4"/>
      <c r="C629" s="4"/>
      <c r="D629" s="4"/>
      <c r="E629" s="4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</row>
    <row r="630" spans="1:68" x14ac:dyDescent="0.25">
      <c r="A630" s="8"/>
      <c r="B630" s="4"/>
      <c r="C630" s="4"/>
      <c r="D630" s="4"/>
      <c r="E630" s="4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</row>
    <row r="631" spans="1:68" x14ac:dyDescent="0.25">
      <c r="A631" s="8"/>
      <c r="B631" s="4"/>
      <c r="C631" s="4"/>
      <c r="D631" s="4"/>
      <c r="E631" s="4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</row>
    <row r="632" spans="1:68" x14ac:dyDescent="0.25">
      <c r="A632" s="8"/>
      <c r="B632" s="4"/>
      <c r="C632" s="4"/>
      <c r="D632" s="4"/>
      <c r="E632" s="4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</row>
    <row r="633" spans="1:68" x14ac:dyDescent="0.25">
      <c r="A633" s="8"/>
      <c r="B633" s="4"/>
      <c r="C633" s="4"/>
      <c r="D633" s="4"/>
      <c r="E633" s="4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</row>
    <row r="634" spans="1:68" x14ac:dyDescent="0.25">
      <c r="A634" s="8"/>
      <c r="B634" s="4"/>
      <c r="C634" s="4"/>
      <c r="D634" s="4"/>
      <c r="E634" s="4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</row>
    <row r="635" spans="1:68" x14ac:dyDescent="0.25">
      <c r="A635" s="8"/>
      <c r="B635" s="4"/>
      <c r="C635" s="4"/>
      <c r="D635" s="4"/>
      <c r="E635" s="4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</row>
    <row r="636" spans="1:68" x14ac:dyDescent="0.25">
      <c r="A636" s="8"/>
      <c r="B636" s="4"/>
      <c r="C636" s="4"/>
      <c r="D636" s="4"/>
      <c r="E636" s="4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</row>
    <row r="637" spans="1:68" x14ac:dyDescent="0.25">
      <c r="A637" s="8"/>
      <c r="B637" s="4"/>
      <c r="C637" s="4"/>
      <c r="D637" s="4"/>
      <c r="E637" s="4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</row>
    <row r="638" spans="1:68" x14ac:dyDescent="0.25">
      <c r="A638" s="8"/>
      <c r="B638" s="4"/>
      <c r="C638" s="4"/>
      <c r="D638" s="4"/>
      <c r="E638" s="4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</row>
    <row r="639" spans="1:68" x14ac:dyDescent="0.25">
      <c r="A639" s="8"/>
      <c r="B639" s="4"/>
      <c r="C639" s="4"/>
      <c r="D639" s="4"/>
      <c r="E639" s="4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</row>
    <row r="640" spans="1:68" x14ac:dyDescent="0.25">
      <c r="A640" s="8"/>
      <c r="B640" s="4"/>
      <c r="C640" s="4"/>
      <c r="D640" s="4"/>
      <c r="E640" s="4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</row>
    <row r="641" spans="1:68" x14ac:dyDescent="0.25">
      <c r="A641" s="8"/>
      <c r="B641" s="4"/>
      <c r="C641" s="4"/>
      <c r="D641" s="4"/>
      <c r="E641" s="4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</row>
    <row r="642" spans="1:68" x14ac:dyDescent="0.25">
      <c r="A642" s="8"/>
      <c r="B642" s="4"/>
      <c r="C642" s="4"/>
      <c r="D642" s="4"/>
      <c r="E642" s="4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</row>
    <row r="643" spans="1:68" x14ac:dyDescent="0.25">
      <c r="A643" s="8"/>
      <c r="B643" s="4"/>
      <c r="C643" s="4"/>
      <c r="D643" s="4"/>
      <c r="E643" s="4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</row>
    <row r="644" spans="1:68" x14ac:dyDescent="0.25">
      <c r="A644" s="8"/>
      <c r="B644" s="4"/>
      <c r="C644" s="4"/>
      <c r="D644" s="4"/>
      <c r="E644" s="4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</row>
    <row r="645" spans="1:68" x14ac:dyDescent="0.25">
      <c r="A645" s="8"/>
      <c r="B645" s="4"/>
      <c r="C645" s="4"/>
      <c r="D645" s="4"/>
      <c r="E645" s="4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</row>
    <row r="646" spans="1:68" x14ac:dyDescent="0.25">
      <c r="A646" s="8"/>
      <c r="B646" s="4"/>
      <c r="C646" s="4"/>
      <c r="D646" s="4"/>
      <c r="E646" s="4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</row>
    <row r="647" spans="1:68" x14ac:dyDescent="0.25">
      <c r="A647" s="8"/>
      <c r="B647" s="4"/>
      <c r="C647" s="4"/>
      <c r="D647" s="4"/>
      <c r="E647" s="4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</row>
    <row r="648" spans="1:68" x14ac:dyDescent="0.25">
      <c r="A648" s="8"/>
      <c r="B648" s="4"/>
      <c r="C648" s="4"/>
      <c r="D648" s="4"/>
      <c r="E648" s="4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</row>
    <row r="649" spans="1:68" x14ac:dyDescent="0.25">
      <c r="A649" s="8"/>
      <c r="B649" s="4"/>
      <c r="C649" s="4"/>
      <c r="D649" s="4"/>
      <c r="E649" s="4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</row>
    <row r="650" spans="1:68" x14ac:dyDescent="0.25">
      <c r="A650" s="8"/>
      <c r="B650" s="4"/>
      <c r="C650" s="4"/>
      <c r="D650" s="4"/>
      <c r="E650" s="4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</row>
    <row r="651" spans="1:68" x14ac:dyDescent="0.25">
      <c r="A651" s="8"/>
      <c r="B651" s="4"/>
      <c r="C651" s="4"/>
      <c r="D651" s="4"/>
      <c r="E651" s="4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</row>
    <row r="652" spans="1:68" x14ac:dyDescent="0.25">
      <c r="A652" s="8"/>
      <c r="B652" s="4"/>
      <c r="C652" s="4"/>
      <c r="D652" s="4"/>
      <c r="E652" s="4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</row>
    <row r="653" spans="1:68" x14ac:dyDescent="0.25">
      <c r="A653" s="8"/>
      <c r="B653" s="4"/>
      <c r="C653" s="4"/>
      <c r="D653" s="4"/>
      <c r="E653" s="4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</row>
  </sheetData>
  <sheetProtection password="CC7A" sheet="1" objects="1" scenarios="1"/>
  <mergeCells count="36">
    <mergeCell ref="AP3:AQ3"/>
    <mergeCell ref="AR3:AS3"/>
    <mergeCell ref="AH2:AK2"/>
    <mergeCell ref="AH3:AI3"/>
    <mergeCell ref="AJ3:AK3"/>
    <mergeCell ref="AT2:AW2"/>
    <mergeCell ref="AT3:AU3"/>
    <mergeCell ref="AV3:AW3"/>
    <mergeCell ref="AL2:AO2"/>
    <mergeCell ref="AL3:AM3"/>
    <mergeCell ref="AN3:AO3"/>
    <mergeCell ref="AP2:AS2"/>
    <mergeCell ref="X3:Y3"/>
    <mergeCell ref="Z2:AC2"/>
    <mergeCell ref="Z3:AA3"/>
    <mergeCell ref="AB3:AC3"/>
    <mergeCell ref="AD2:AG2"/>
    <mergeCell ref="AD3:AE3"/>
    <mergeCell ref="AF3:AG3"/>
    <mergeCell ref="J2:M2"/>
    <mergeCell ref="N2:Q2"/>
    <mergeCell ref="R2:U2"/>
    <mergeCell ref="V2:Y2"/>
    <mergeCell ref="B2:E2"/>
    <mergeCell ref="B3:C3"/>
    <mergeCell ref="D3:E3"/>
    <mergeCell ref="F2:I2"/>
    <mergeCell ref="F3:G3"/>
    <mergeCell ref="H3:I3"/>
    <mergeCell ref="R3:S3"/>
    <mergeCell ref="T3:U3"/>
    <mergeCell ref="V3:W3"/>
    <mergeCell ref="J3:K3"/>
    <mergeCell ref="L3:M3"/>
    <mergeCell ref="N3:O3"/>
    <mergeCell ref="P3:Q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sqref="A1:IV65536"/>
    </sheetView>
  </sheetViews>
  <sheetFormatPr defaultRowHeight="13.2" x14ac:dyDescent="0.25"/>
  <cols>
    <col min="1" max="1" width="12.6640625" customWidth="1"/>
    <col min="2" max="12" width="11.6640625" customWidth="1"/>
  </cols>
  <sheetData>
    <row r="1" spans="1:14" ht="54.75" customHeight="1" thickTop="1" thickBot="1" x14ac:dyDescent="0.3">
      <c r="A1" s="61"/>
      <c r="B1" s="62" t="s">
        <v>167</v>
      </c>
      <c r="C1" s="62" t="s">
        <v>168</v>
      </c>
      <c r="D1" s="62" t="s">
        <v>169</v>
      </c>
      <c r="E1" s="62" t="s">
        <v>170</v>
      </c>
      <c r="F1" s="62" t="s">
        <v>2478</v>
      </c>
      <c r="G1" s="62" t="s">
        <v>1148</v>
      </c>
      <c r="H1" s="62" t="s">
        <v>1149</v>
      </c>
      <c r="I1" s="62" t="s">
        <v>1150</v>
      </c>
      <c r="J1" s="24" t="s">
        <v>2479</v>
      </c>
      <c r="K1" s="24" t="s">
        <v>2480</v>
      </c>
      <c r="L1" s="24" t="s">
        <v>2334</v>
      </c>
      <c r="M1" s="22"/>
      <c r="N1" s="22"/>
    </row>
    <row r="2" spans="1:14" ht="14.25" customHeight="1" x14ac:dyDescent="0.25">
      <c r="A2" s="72"/>
      <c r="B2" s="73"/>
      <c r="C2" s="73"/>
      <c r="D2" s="73"/>
      <c r="E2" s="73"/>
      <c r="F2" s="73"/>
      <c r="G2" s="74"/>
      <c r="H2" s="74"/>
      <c r="I2" s="74"/>
      <c r="J2" s="75"/>
      <c r="K2" s="76"/>
      <c r="L2" s="77"/>
      <c r="M2" s="22"/>
      <c r="N2" s="22"/>
    </row>
    <row r="3" spans="1:14" x14ac:dyDescent="0.25">
      <c r="A3" s="87" t="s">
        <v>172</v>
      </c>
      <c r="B3" s="64" t="e">
        <f>('Piano Volo'!C18*60*60)+('Piano Volo'!D18*60)+'Piano Volo'!E18</f>
        <v>#VALUE!</v>
      </c>
      <c r="C3" s="64" t="e">
        <f>('Piano Volo'!G18*60*60)+('Piano Volo'!H18*60)+'Piano Volo'!I18</f>
        <v>#VALUE!</v>
      </c>
      <c r="D3" s="64"/>
      <c r="E3" s="64"/>
      <c r="F3" s="63"/>
      <c r="G3" s="64"/>
      <c r="H3" s="64"/>
      <c r="I3" s="64"/>
      <c r="J3" s="65"/>
      <c r="K3" s="66"/>
      <c r="L3" s="78"/>
    </row>
    <row r="4" spans="1:14" x14ac:dyDescent="0.25">
      <c r="A4" s="87" t="s">
        <v>180</v>
      </c>
      <c r="B4" s="64" t="e">
        <f>'Piano Volo'!C23*60*60+'Piano Volo'!D23*60+'Piano Volo'!E23</f>
        <v>#VALUE!</v>
      </c>
      <c r="C4" s="64" t="e">
        <f>'Piano Volo'!G23*60*60+'Piano Volo'!H23*60+'Piano Volo'!I23</f>
        <v>#VALUE!</v>
      </c>
      <c r="D4" s="67" t="e">
        <f t="shared" ref="D4:D10" si="0">((B3-B4)*(111/60/60))</f>
        <v>#VALUE!</v>
      </c>
      <c r="E4" s="67" t="e">
        <f t="shared" ref="E4:E10" si="1">(C3-C4)*(80.2/60/60)</f>
        <v>#VALUE!</v>
      </c>
      <c r="F4" s="68" t="e">
        <f t="shared" ref="F4:F10" si="2">IF(D4&lt;0,IF(E4&lt;0,ASIN(-E4/K4),ASIN(D4/-K4)),"")</f>
        <v>#VALUE!</v>
      </c>
      <c r="G4" s="68" t="e">
        <f t="shared" ref="G4:G10" si="3">IF(D4&gt;0,IF(E4&gt;0,ASIN(E4/K4),ASIN(D4/K4)),"")</f>
        <v>#VALUE!</v>
      </c>
      <c r="H4" s="69" t="e">
        <f t="shared" ref="H4:H10" si="4">IF(F4="",0,INT(IF(D4&lt;0,IF(E4&lt;0,DEGREES(F4),DEGREES(F4)+270),"")))</f>
        <v>#VALUE!</v>
      </c>
      <c r="I4" s="70" t="e">
        <f t="shared" ref="I4:I10" si="5">IF(G4="","",INT(IF(D4&gt;0,IF(E4&gt;0,DEGREES(G4)+180,DEGREES(G4)+90),"")))</f>
        <v>#VALUE!</v>
      </c>
      <c r="J4" s="70" t="e">
        <f t="shared" ref="J4:J10" si="6">IF(H4&lt;&gt;0,H4,I4)</f>
        <v>#VALUE!</v>
      </c>
      <c r="K4" s="71" t="e">
        <f>ROUNDUP(L4,0)</f>
        <v>#VALUE!</v>
      </c>
      <c r="L4" s="79" t="e">
        <f>SQRT((D4*D4)+(E4*E4))</f>
        <v>#VALUE!</v>
      </c>
    </row>
    <row r="5" spans="1:14" x14ac:dyDescent="0.25">
      <c r="A5" s="87" t="s">
        <v>175</v>
      </c>
      <c r="B5" s="64" t="e">
        <f>'Piano Volo'!C30*60*60+'Piano Volo'!D30*60+'Piano Volo'!E30</f>
        <v>#VALUE!</v>
      </c>
      <c r="C5" s="64" t="e">
        <f>'Piano Volo'!G30*60*60+'Piano Volo'!H30*60+'Piano Volo'!I30</f>
        <v>#VALUE!</v>
      </c>
      <c r="D5" s="67" t="e">
        <f t="shared" si="0"/>
        <v>#VALUE!</v>
      </c>
      <c r="E5" s="67" t="e">
        <f t="shared" si="1"/>
        <v>#VALUE!</v>
      </c>
      <c r="F5" s="68" t="e">
        <f t="shared" si="2"/>
        <v>#VALUE!</v>
      </c>
      <c r="G5" s="68" t="e">
        <f t="shared" si="3"/>
        <v>#VALUE!</v>
      </c>
      <c r="H5" s="69" t="e">
        <f t="shared" si="4"/>
        <v>#VALUE!</v>
      </c>
      <c r="I5" s="70" t="e">
        <f t="shared" si="5"/>
        <v>#VALUE!</v>
      </c>
      <c r="J5" s="70" t="e">
        <f t="shared" si="6"/>
        <v>#VALUE!</v>
      </c>
      <c r="K5" s="71" t="e">
        <f t="shared" ref="K5:K10" si="7">ROUNDUP(L5,0)</f>
        <v>#VALUE!</v>
      </c>
      <c r="L5" s="79" t="e">
        <f t="shared" ref="L5:L10" si="8">SQRT((D5*D5)+(E5*E5))</f>
        <v>#VALUE!</v>
      </c>
    </row>
    <row r="6" spans="1:14" x14ac:dyDescent="0.25">
      <c r="A6" s="87" t="s">
        <v>176</v>
      </c>
      <c r="B6" s="64" t="e">
        <f>'Piano Volo'!C37*60*60+'Piano Volo'!D37*60+'Piano Volo'!E37</f>
        <v>#VALUE!</v>
      </c>
      <c r="C6" s="64" t="e">
        <f>'Piano Volo'!G37*60*60+'Piano Volo'!H37*60+'Piano Volo'!I37</f>
        <v>#VALUE!</v>
      </c>
      <c r="D6" s="67" t="e">
        <f t="shared" si="0"/>
        <v>#VALUE!</v>
      </c>
      <c r="E6" s="67" t="e">
        <f t="shared" si="1"/>
        <v>#VALUE!</v>
      </c>
      <c r="F6" s="68" t="e">
        <f t="shared" si="2"/>
        <v>#VALUE!</v>
      </c>
      <c r="G6" s="68" t="e">
        <f t="shared" si="3"/>
        <v>#VALUE!</v>
      </c>
      <c r="H6" s="69" t="e">
        <f t="shared" si="4"/>
        <v>#VALUE!</v>
      </c>
      <c r="I6" s="70" t="e">
        <f t="shared" si="5"/>
        <v>#VALUE!</v>
      </c>
      <c r="J6" s="70" t="e">
        <f t="shared" si="6"/>
        <v>#VALUE!</v>
      </c>
      <c r="K6" s="71" t="e">
        <f t="shared" si="7"/>
        <v>#VALUE!</v>
      </c>
      <c r="L6" s="79" t="e">
        <f t="shared" si="8"/>
        <v>#VALUE!</v>
      </c>
    </row>
    <row r="7" spans="1:14" x14ac:dyDescent="0.25">
      <c r="A7" s="87" t="s">
        <v>177</v>
      </c>
      <c r="B7" s="64" t="e">
        <f>'Piano Volo'!C44*60*60+'Piano Volo'!D44*60+'Piano Volo'!E44</f>
        <v>#VALUE!</v>
      </c>
      <c r="C7" s="64" t="e">
        <f>'Piano Volo'!G44*60*60+'Piano Volo'!H44*60+'Piano Volo'!I44</f>
        <v>#VALUE!</v>
      </c>
      <c r="D7" s="67" t="e">
        <f t="shared" si="0"/>
        <v>#VALUE!</v>
      </c>
      <c r="E7" s="67" t="e">
        <f t="shared" si="1"/>
        <v>#VALUE!</v>
      </c>
      <c r="F7" s="68" t="e">
        <f t="shared" si="2"/>
        <v>#VALUE!</v>
      </c>
      <c r="G7" s="68" t="e">
        <f t="shared" si="3"/>
        <v>#VALUE!</v>
      </c>
      <c r="H7" s="69" t="e">
        <f t="shared" si="4"/>
        <v>#VALUE!</v>
      </c>
      <c r="I7" s="70" t="e">
        <f t="shared" si="5"/>
        <v>#VALUE!</v>
      </c>
      <c r="J7" s="70" t="e">
        <f t="shared" si="6"/>
        <v>#VALUE!</v>
      </c>
      <c r="K7" s="71" t="e">
        <f t="shared" si="7"/>
        <v>#VALUE!</v>
      </c>
      <c r="L7" s="79" t="e">
        <f t="shared" si="8"/>
        <v>#VALUE!</v>
      </c>
    </row>
    <row r="8" spans="1:14" x14ac:dyDescent="0.25">
      <c r="A8" s="87" t="s">
        <v>178</v>
      </c>
      <c r="B8" s="64" t="e">
        <f>'Piano Volo'!C51*60*60+'Piano Volo'!D51*60+'Piano Volo'!E51</f>
        <v>#VALUE!</v>
      </c>
      <c r="C8" s="64" t="e">
        <f>'Piano Volo'!G51*60*60+'Piano Volo'!H51*60+'Piano Volo'!I51</f>
        <v>#VALUE!</v>
      </c>
      <c r="D8" s="67" t="e">
        <f t="shared" si="0"/>
        <v>#VALUE!</v>
      </c>
      <c r="E8" s="67" t="e">
        <f t="shared" si="1"/>
        <v>#VALUE!</v>
      </c>
      <c r="F8" s="68" t="e">
        <f t="shared" si="2"/>
        <v>#VALUE!</v>
      </c>
      <c r="G8" s="68" t="e">
        <f t="shared" si="3"/>
        <v>#VALUE!</v>
      </c>
      <c r="H8" s="69" t="e">
        <f t="shared" si="4"/>
        <v>#VALUE!</v>
      </c>
      <c r="I8" s="70" t="e">
        <f t="shared" si="5"/>
        <v>#VALUE!</v>
      </c>
      <c r="J8" s="70" t="e">
        <f t="shared" si="6"/>
        <v>#VALUE!</v>
      </c>
      <c r="K8" s="71" t="e">
        <f t="shared" si="7"/>
        <v>#VALUE!</v>
      </c>
      <c r="L8" s="79" t="e">
        <f t="shared" si="8"/>
        <v>#VALUE!</v>
      </c>
    </row>
    <row r="9" spans="1:14" x14ac:dyDescent="0.25">
      <c r="A9" s="87" t="s">
        <v>179</v>
      </c>
      <c r="B9" s="64" t="e">
        <f>'Piano Volo'!C58*60*60+'Piano Volo'!D58*60+'Piano Volo'!E58</f>
        <v>#VALUE!</v>
      </c>
      <c r="C9" s="64" t="e">
        <f>'Piano Volo'!G58*60*60+'Piano Volo'!H58*60+'Piano Volo'!I58</f>
        <v>#VALUE!</v>
      </c>
      <c r="D9" s="67" t="e">
        <f t="shared" si="0"/>
        <v>#VALUE!</v>
      </c>
      <c r="E9" s="67" t="e">
        <f t="shared" si="1"/>
        <v>#VALUE!</v>
      </c>
      <c r="F9" s="68" t="e">
        <f>IF(D9&lt;0,IF(E9&lt;0,ASIN(-E9/K9),ASIN(D9/-K9)),"")</f>
        <v>#VALUE!</v>
      </c>
      <c r="G9" s="68" t="e">
        <f>IF(D9&gt;0,IF(E9&gt;0,ASIN(E9/K9),ASIN(D9/K9)),"")</f>
        <v>#VALUE!</v>
      </c>
      <c r="H9" s="69" t="e">
        <f>IF(F9="",0,INT(IF(D9&lt;0,IF(E9&lt;0,DEGREES(F9),DEGREES(F9)+270),"")))</f>
        <v>#VALUE!</v>
      </c>
      <c r="I9" s="70" t="e">
        <f>IF(G9="","",INT(IF(D9&gt;0,IF(E9&gt;0,DEGREES(G9)+180,DEGREES(G9)+90),"")))</f>
        <v>#VALUE!</v>
      </c>
      <c r="J9" s="70" t="e">
        <f>IF(H9&lt;&gt;0,H9,I9)</f>
        <v>#VALUE!</v>
      </c>
      <c r="K9" s="71" t="e">
        <f t="shared" si="7"/>
        <v>#VALUE!</v>
      </c>
      <c r="L9" s="79" t="e">
        <f t="shared" si="8"/>
        <v>#VALUE!</v>
      </c>
    </row>
    <row r="10" spans="1:14" x14ac:dyDescent="0.25">
      <c r="A10" s="87" t="s">
        <v>2980</v>
      </c>
      <c r="B10" s="64" t="e">
        <f>'Piano Volo'!C65*60*60+'Piano Volo'!D65*60+'Piano Volo'!E65</f>
        <v>#VALUE!</v>
      </c>
      <c r="C10" s="64" t="e">
        <f>'Piano Volo'!G65*60*60+'Piano Volo'!H65*60+'Piano Volo'!I65</f>
        <v>#VALUE!</v>
      </c>
      <c r="D10" s="67" t="e">
        <f t="shared" si="0"/>
        <v>#VALUE!</v>
      </c>
      <c r="E10" s="67" t="e">
        <f t="shared" si="1"/>
        <v>#VALUE!</v>
      </c>
      <c r="F10" s="68" t="e">
        <f t="shared" si="2"/>
        <v>#VALUE!</v>
      </c>
      <c r="G10" s="68" t="e">
        <f t="shared" si="3"/>
        <v>#VALUE!</v>
      </c>
      <c r="H10" s="69" t="e">
        <f t="shared" si="4"/>
        <v>#VALUE!</v>
      </c>
      <c r="I10" s="70" t="e">
        <f t="shared" si="5"/>
        <v>#VALUE!</v>
      </c>
      <c r="J10" s="70" t="e">
        <f t="shared" si="6"/>
        <v>#VALUE!</v>
      </c>
      <c r="K10" s="71" t="e">
        <f t="shared" si="7"/>
        <v>#VALUE!</v>
      </c>
      <c r="L10" s="79" t="e">
        <f t="shared" si="8"/>
        <v>#VALUE!</v>
      </c>
    </row>
    <row r="11" spans="1:14" x14ac:dyDescent="0.25">
      <c r="A11" s="87" t="s">
        <v>1169</v>
      </c>
      <c r="B11" s="64" t="e">
        <f>'Piano Volo'!C72*60*60+'Piano Volo'!D72*60+'Piano Volo'!E72</f>
        <v>#VALUE!</v>
      </c>
      <c r="C11" s="64" t="e">
        <f>'Piano Volo'!G72*60*60+'Piano Volo'!H72*60+'Piano Volo'!I72</f>
        <v>#VALUE!</v>
      </c>
      <c r="D11" s="67" t="e">
        <f t="shared" ref="D11:D17" si="9">((B10-B11)*(111/60/60))</f>
        <v>#VALUE!</v>
      </c>
      <c r="E11" s="67" t="e">
        <f t="shared" ref="E11:E17" si="10">(C10-C11)*(80.2/60/60)</f>
        <v>#VALUE!</v>
      </c>
      <c r="F11" s="68" t="e">
        <f t="shared" ref="F11:F18" si="11">IF(D11&lt;0,IF(E11&lt;0,ASIN(-E11/K11),ASIN(D11/-K11)),"")</f>
        <v>#VALUE!</v>
      </c>
      <c r="G11" s="68" t="e">
        <f t="shared" ref="G11:G18" si="12">IF(D11&gt;0,IF(E11&gt;0,ASIN(E11/K11),ASIN(D11/K11)),"")</f>
        <v>#VALUE!</v>
      </c>
      <c r="H11" s="69" t="e">
        <f t="shared" ref="H11:H18" si="13">IF(F11="",0,INT(IF(D11&lt;0,IF(E11&lt;0,DEGREES(F11),DEGREES(F11)+270),"")))</f>
        <v>#VALUE!</v>
      </c>
      <c r="I11" s="70" t="e">
        <f t="shared" ref="I11:I18" si="14">IF(G11="","",INT(IF(D11&gt;0,IF(E11&gt;0,DEGREES(G11)+180,DEGREES(G11)+90),"")))</f>
        <v>#VALUE!</v>
      </c>
      <c r="J11" s="70" t="e">
        <f t="shared" ref="J11:J18" si="15">IF(H11&lt;&gt;0,H11,I11)</f>
        <v>#VALUE!</v>
      </c>
      <c r="K11" s="71" t="e">
        <f>ROUNDUP(L11,0)</f>
        <v>#VALUE!</v>
      </c>
      <c r="L11" s="79" t="e">
        <f>SQRT((D11*D11)+(E11*E11))</f>
        <v>#VALUE!</v>
      </c>
    </row>
    <row r="12" spans="1:14" x14ac:dyDescent="0.25">
      <c r="A12" s="87" t="s">
        <v>1170</v>
      </c>
      <c r="B12" s="64" t="e">
        <f>'Piano Volo'!C79*60*60+'Piano Volo'!D79*60+'Piano Volo'!E79</f>
        <v>#VALUE!</v>
      </c>
      <c r="C12" s="64" t="e">
        <f>'Piano Volo'!G79*60*60+'Piano Volo'!H79*60+'Piano Volo'!I79</f>
        <v>#VALUE!</v>
      </c>
      <c r="D12" s="67" t="e">
        <f t="shared" si="9"/>
        <v>#VALUE!</v>
      </c>
      <c r="E12" s="67" t="e">
        <f t="shared" si="10"/>
        <v>#VALUE!</v>
      </c>
      <c r="F12" s="68" t="e">
        <f t="shared" si="11"/>
        <v>#VALUE!</v>
      </c>
      <c r="G12" s="68" t="e">
        <f t="shared" si="12"/>
        <v>#VALUE!</v>
      </c>
      <c r="H12" s="69" t="e">
        <f t="shared" si="13"/>
        <v>#VALUE!</v>
      </c>
      <c r="I12" s="70" t="e">
        <f t="shared" si="14"/>
        <v>#VALUE!</v>
      </c>
      <c r="J12" s="70" t="e">
        <f t="shared" si="15"/>
        <v>#VALUE!</v>
      </c>
      <c r="K12" s="71" t="e">
        <f t="shared" ref="K12:K17" si="16">ROUNDUP(L12,0)</f>
        <v>#VALUE!</v>
      </c>
      <c r="L12" s="79" t="e">
        <f t="shared" ref="L12:L17" si="17">SQRT((D12*D12)+(E12*E12))</f>
        <v>#VALUE!</v>
      </c>
    </row>
    <row r="13" spans="1:14" x14ac:dyDescent="0.25">
      <c r="A13" s="87" t="s">
        <v>1171</v>
      </c>
      <c r="B13" s="64" t="e">
        <f>'Piano Volo'!C86*60*60+'Piano Volo'!D86*60+'Piano Volo'!E86</f>
        <v>#VALUE!</v>
      </c>
      <c r="C13" s="64" t="e">
        <f>'Piano Volo'!G86*60*60+'Piano Volo'!H86*60+'Piano Volo'!I86</f>
        <v>#VALUE!</v>
      </c>
      <c r="D13" s="67" t="e">
        <f t="shared" si="9"/>
        <v>#VALUE!</v>
      </c>
      <c r="E13" s="67" t="e">
        <f t="shared" si="10"/>
        <v>#VALUE!</v>
      </c>
      <c r="F13" s="68" t="e">
        <f t="shared" si="11"/>
        <v>#VALUE!</v>
      </c>
      <c r="G13" s="68" t="e">
        <f t="shared" si="12"/>
        <v>#VALUE!</v>
      </c>
      <c r="H13" s="69" t="e">
        <f t="shared" si="13"/>
        <v>#VALUE!</v>
      </c>
      <c r="I13" s="70" t="e">
        <f t="shared" si="14"/>
        <v>#VALUE!</v>
      </c>
      <c r="J13" s="70" t="e">
        <f t="shared" si="15"/>
        <v>#VALUE!</v>
      </c>
      <c r="K13" s="71" t="e">
        <f t="shared" si="16"/>
        <v>#VALUE!</v>
      </c>
      <c r="L13" s="79" t="e">
        <f t="shared" si="17"/>
        <v>#VALUE!</v>
      </c>
    </row>
    <row r="14" spans="1:14" x14ac:dyDescent="0.25">
      <c r="A14" s="87" t="s">
        <v>1172</v>
      </c>
      <c r="B14" s="64" t="e">
        <f>'Piano Volo'!C93*60*60+'Piano Volo'!D93*60+'Piano Volo'!E93</f>
        <v>#VALUE!</v>
      </c>
      <c r="C14" s="64" t="e">
        <f>'Piano Volo'!G93*60*60+'Piano Volo'!H93*60+'Piano Volo'!I93</f>
        <v>#VALUE!</v>
      </c>
      <c r="D14" s="67" t="e">
        <f t="shared" si="9"/>
        <v>#VALUE!</v>
      </c>
      <c r="E14" s="67" t="e">
        <f t="shared" si="10"/>
        <v>#VALUE!</v>
      </c>
      <c r="F14" s="68" t="e">
        <f t="shared" si="11"/>
        <v>#VALUE!</v>
      </c>
      <c r="G14" s="68" t="e">
        <f t="shared" si="12"/>
        <v>#VALUE!</v>
      </c>
      <c r="H14" s="69" t="e">
        <f t="shared" si="13"/>
        <v>#VALUE!</v>
      </c>
      <c r="I14" s="70" t="e">
        <f t="shared" si="14"/>
        <v>#VALUE!</v>
      </c>
      <c r="J14" s="70" t="e">
        <f t="shared" si="15"/>
        <v>#VALUE!</v>
      </c>
      <c r="K14" s="71" t="e">
        <f t="shared" si="16"/>
        <v>#VALUE!</v>
      </c>
      <c r="L14" s="79" t="e">
        <f t="shared" si="17"/>
        <v>#VALUE!</v>
      </c>
    </row>
    <row r="15" spans="1:14" x14ac:dyDescent="0.25">
      <c r="A15" s="87" t="s">
        <v>1173</v>
      </c>
      <c r="B15" s="64" t="e">
        <f>'Piano Volo'!C100*60*60+'Piano Volo'!D100*60+'Piano Volo'!E100</f>
        <v>#VALUE!</v>
      </c>
      <c r="C15" s="64" t="e">
        <f>'Piano Volo'!G100*60*60+'Piano Volo'!H100*60+'Piano Volo'!I100</f>
        <v>#VALUE!</v>
      </c>
      <c r="D15" s="67" t="e">
        <f t="shared" si="9"/>
        <v>#VALUE!</v>
      </c>
      <c r="E15" s="67" t="e">
        <f t="shared" si="10"/>
        <v>#VALUE!</v>
      </c>
      <c r="F15" s="68" t="e">
        <f t="shared" si="11"/>
        <v>#VALUE!</v>
      </c>
      <c r="G15" s="68" t="e">
        <f t="shared" si="12"/>
        <v>#VALUE!</v>
      </c>
      <c r="H15" s="69" t="e">
        <f t="shared" si="13"/>
        <v>#VALUE!</v>
      </c>
      <c r="I15" s="70" t="e">
        <f t="shared" si="14"/>
        <v>#VALUE!</v>
      </c>
      <c r="J15" s="70" t="e">
        <f t="shared" si="15"/>
        <v>#VALUE!</v>
      </c>
      <c r="K15" s="71" t="e">
        <f t="shared" si="16"/>
        <v>#VALUE!</v>
      </c>
      <c r="L15" s="79" t="e">
        <f t="shared" si="17"/>
        <v>#VALUE!</v>
      </c>
    </row>
    <row r="16" spans="1:14" x14ac:dyDescent="0.25">
      <c r="A16" s="87" t="s">
        <v>1174</v>
      </c>
      <c r="B16" s="64" t="e">
        <f>'Piano Volo'!C107*60*60+'Piano Volo'!D107*60+'Piano Volo'!E107</f>
        <v>#VALUE!</v>
      </c>
      <c r="C16" s="64" t="e">
        <f>'Piano Volo'!G107*60*60+'Piano Volo'!H107*60+'Piano Volo'!I107</f>
        <v>#VALUE!</v>
      </c>
      <c r="D16" s="67" t="e">
        <f t="shared" si="9"/>
        <v>#VALUE!</v>
      </c>
      <c r="E16" s="67" t="e">
        <f t="shared" si="10"/>
        <v>#VALUE!</v>
      </c>
      <c r="F16" s="68" t="e">
        <f t="shared" si="11"/>
        <v>#VALUE!</v>
      </c>
      <c r="G16" s="68" t="e">
        <f t="shared" si="12"/>
        <v>#VALUE!</v>
      </c>
      <c r="H16" s="69" t="e">
        <f t="shared" si="13"/>
        <v>#VALUE!</v>
      </c>
      <c r="I16" s="70" t="e">
        <f t="shared" si="14"/>
        <v>#VALUE!</v>
      </c>
      <c r="J16" s="70" t="e">
        <f t="shared" si="15"/>
        <v>#VALUE!</v>
      </c>
      <c r="K16" s="71" t="e">
        <f t="shared" si="16"/>
        <v>#VALUE!</v>
      </c>
      <c r="L16" s="79" t="e">
        <f t="shared" si="17"/>
        <v>#VALUE!</v>
      </c>
    </row>
    <row r="17" spans="1:12" x14ac:dyDescent="0.25">
      <c r="A17" s="87" t="s">
        <v>1175</v>
      </c>
      <c r="B17" s="64" t="e">
        <f>'Piano Volo'!C114*60*60+'Piano Volo'!D114*60+'Piano Volo'!E114</f>
        <v>#VALUE!</v>
      </c>
      <c r="C17" s="64" t="e">
        <f>'Piano Volo'!G114*60*60+'Piano Volo'!H114*60+'Piano Volo'!I114</f>
        <v>#VALUE!</v>
      </c>
      <c r="D17" s="67" t="e">
        <f t="shared" si="9"/>
        <v>#VALUE!</v>
      </c>
      <c r="E17" s="67" t="e">
        <f t="shared" si="10"/>
        <v>#VALUE!</v>
      </c>
      <c r="F17" s="68" t="e">
        <f t="shared" si="11"/>
        <v>#VALUE!</v>
      </c>
      <c r="G17" s="68" t="e">
        <f t="shared" si="12"/>
        <v>#VALUE!</v>
      </c>
      <c r="H17" s="69" t="e">
        <f t="shared" si="13"/>
        <v>#VALUE!</v>
      </c>
      <c r="I17" s="70" t="e">
        <f t="shared" si="14"/>
        <v>#VALUE!</v>
      </c>
      <c r="J17" s="70" t="e">
        <f t="shared" si="15"/>
        <v>#VALUE!</v>
      </c>
      <c r="K17" s="71" t="e">
        <f t="shared" si="16"/>
        <v>#VALUE!</v>
      </c>
      <c r="L17" s="79" t="e">
        <f t="shared" si="17"/>
        <v>#VALUE!</v>
      </c>
    </row>
    <row r="18" spans="1:12" ht="13.8" thickBot="1" x14ac:dyDescent="0.3">
      <c r="A18" s="88" t="s">
        <v>1176</v>
      </c>
      <c r="B18" s="80" t="e">
        <f>'Piano Volo'!C121*60*60+'Piano Volo'!D121*60+'Piano Volo'!E121</f>
        <v>#VALUE!</v>
      </c>
      <c r="C18" s="80" t="e">
        <f>'Piano Volo'!G121*60*60+'Piano Volo'!H121*60+'Piano Volo'!I121</f>
        <v>#VALUE!</v>
      </c>
      <c r="D18" s="81" t="e">
        <f>((B17-B18)*(111/60/60))</f>
        <v>#VALUE!</v>
      </c>
      <c r="E18" s="81" t="e">
        <f>(C17-C18)*(80.2/60/60)</f>
        <v>#VALUE!</v>
      </c>
      <c r="F18" s="82" t="e">
        <f t="shared" si="11"/>
        <v>#VALUE!</v>
      </c>
      <c r="G18" s="82" t="e">
        <f t="shared" si="12"/>
        <v>#VALUE!</v>
      </c>
      <c r="H18" s="83" t="e">
        <f t="shared" si="13"/>
        <v>#VALUE!</v>
      </c>
      <c r="I18" s="84" t="e">
        <f t="shared" si="14"/>
        <v>#VALUE!</v>
      </c>
      <c r="J18" s="84" t="e">
        <f t="shared" si="15"/>
        <v>#VALUE!</v>
      </c>
      <c r="K18" s="85" t="e">
        <f>ROUNDUP(L18,0)</f>
        <v>#VALUE!</v>
      </c>
      <c r="L18" s="86" t="e">
        <f>SQRT((D18*D18)+(E18*E18))</f>
        <v>#VALUE!</v>
      </c>
    </row>
    <row r="19" spans="1:12" x14ac:dyDescent="0.25">
      <c r="B19" s="23"/>
      <c r="C19" s="23"/>
      <c r="D19" s="23"/>
      <c r="E19" s="23"/>
      <c r="F19" s="23"/>
      <c r="G19" s="23" t="str">
        <f>IF(AND(1,2),"","")</f>
        <v/>
      </c>
      <c r="H19" s="23"/>
      <c r="I19" s="23"/>
      <c r="J19" s="23"/>
      <c r="K19" s="23"/>
    </row>
    <row r="20" spans="1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1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1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1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2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2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2" x14ac:dyDescent="0.25"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2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2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2" x14ac:dyDescent="0.25"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2" x14ac:dyDescent="0.25"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2" x14ac:dyDescent="0.25"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2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2:11" x14ac:dyDescent="0.25"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2:11" x14ac:dyDescent="0.25"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2:11" x14ac:dyDescent="0.25"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2:11" x14ac:dyDescent="0.25">
      <c r="B36" s="23"/>
      <c r="C36" s="23"/>
      <c r="D36" s="23"/>
      <c r="E36" s="23"/>
      <c r="F36" s="23"/>
      <c r="G36" s="23"/>
      <c r="H36" s="23"/>
      <c r="I36" s="23"/>
      <c r="J36" s="23"/>
      <c r="K36" s="23"/>
    </row>
    <row r="37" spans="2:11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2:11" x14ac:dyDescent="0.25"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2:11" x14ac:dyDescent="0.25"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2:11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2:11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2:11" x14ac:dyDescent="0.25"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2:11" x14ac:dyDescent="0.25"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 spans="2:11" x14ac:dyDescent="0.25"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2:1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2:11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2:11" x14ac:dyDescent="0.25"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2:11" x14ac:dyDescent="0.25"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2:11" x14ac:dyDescent="0.25"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2:11" x14ac:dyDescent="0.25"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2:11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2:11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2:11" x14ac:dyDescent="0.25"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2:11" x14ac:dyDescent="0.25"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2:11" x14ac:dyDescent="0.25"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2:11" x14ac:dyDescent="0.25"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2:11" x14ac:dyDescent="0.25"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2:11" x14ac:dyDescent="0.25"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2:11" x14ac:dyDescent="0.25"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2:11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2:11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2:11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</row>
    <row r="63" spans="2:11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2:11" x14ac:dyDescent="0.25"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2:11" x14ac:dyDescent="0.25"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2:11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2:11" x14ac:dyDescent="0.25"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2:11" x14ac:dyDescent="0.25"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2:11" x14ac:dyDescent="0.25"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2:11" x14ac:dyDescent="0.25"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2:11" x14ac:dyDescent="0.25">
      <c r="B71" s="23"/>
      <c r="C71" s="23"/>
      <c r="D71" s="23"/>
      <c r="E71" s="23"/>
      <c r="F71" s="23"/>
      <c r="G71" s="23"/>
      <c r="H71" s="23"/>
      <c r="I71" s="23"/>
      <c r="J71" s="23"/>
      <c r="K71" s="23"/>
    </row>
    <row r="72" spans="2:11" x14ac:dyDescent="0.25">
      <c r="B72" s="23"/>
      <c r="C72" s="23"/>
      <c r="D72" s="23"/>
      <c r="E72" s="23"/>
      <c r="F72" s="23"/>
      <c r="G72" s="23"/>
      <c r="H72" s="23"/>
      <c r="I72" s="23"/>
      <c r="J72" s="23"/>
      <c r="K72" s="23"/>
    </row>
    <row r="73" spans="2:11" x14ac:dyDescent="0.25">
      <c r="B73" s="23"/>
      <c r="C73" s="23"/>
      <c r="D73" s="23"/>
      <c r="E73" s="23"/>
      <c r="F73" s="23"/>
      <c r="G73" s="23"/>
      <c r="H73" s="23"/>
      <c r="I73" s="23"/>
      <c r="J73" s="23"/>
      <c r="K73" s="23"/>
    </row>
    <row r="74" spans="2:11" x14ac:dyDescent="0.25"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 spans="2:11" x14ac:dyDescent="0.25"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 spans="2:11" x14ac:dyDescent="0.25"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spans="2:11" x14ac:dyDescent="0.25"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spans="2:11" x14ac:dyDescent="0.25"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2:11" x14ac:dyDescent="0.25"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2:11" x14ac:dyDescent="0.25"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 spans="2:11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2:11" x14ac:dyDescent="0.25"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spans="2:11" x14ac:dyDescent="0.25"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spans="2:11" x14ac:dyDescent="0.25">
      <c r="B84" s="23"/>
      <c r="C84" s="23"/>
      <c r="D84" s="23"/>
      <c r="E84" s="23"/>
      <c r="F84" s="23"/>
      <c r="G84" s="23"/>
      <c r="H84" s="23"/>
      <c r="I84" s="23"/>
      <c r="J84" s="23"/>
      <c r="K84" s="23"/>
    </row>
    <row r="85" spans="2:11" x14ac:dyDescent="0.25">
      <c r="B85" s="23"/>
      <c r="C85" s="23"/>
      <c r="D85" s="23"/>
      <c r="E85" s="23"/>
      <c r="F85" s="23"/>
      <c r="G85" s="23"/>
      <c r="H85" s="23"/>
      <c r="I85" s="23"/>
      <c r="J85" s="23"/>
      <c r="K85" s="23"/>
    </row>
  </sheetData>
  <sheetProtection password="CC7A" sheet="1" objects="1" scenarios="1"/>
  <phoneticPr fontId="0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Piano Volo</vt:lpstr>
      <vt:lpstr>Waypoints</vt:lpstr>
      <vt:lpstr>Aerei</vt:lpstr>
      <vt:lpstr>Effemeridi</vt:lpstr>
      <vt:lpstr>Calcoli</vt:lpstr>
      <vt:lpstr>'Piano Volo'!Print_Area</vt:lpstr>
      <vt:lpstr>'Piano Volo'!Print_Titles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Stefano Occhetti</cp:lastModifiedBy>
  <cp:lastPrinted>2004-10-25T13:53:25Z</cp:lastPrinted>
  <dcterms:created xsi:type="dcterms:W3CDTF">2001-12-06T23:42:14Z</dcterms:created>
  <dcterms:modified xsi:type="dcterms:W3CDTF">2022-02-19T14:22:52Z</dcterms:modified>
</cp:coreProperties>
</file>